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élie BELFORT\OneDrive\OREC\OBS Climat-Energie\Site internet OREC\"/>
    </mc:Choice>
  </mc:AlternateContent>
  <xr:revisionPtr revIDLastSave="338" documentId="8_{3AA63294-0310-4190-A045-64B18C5C89F1}" xr6:coauthVersionLast="25" xr6:coauthVersionMax="25" xr10:uidLastSave="{4FB1F737-1748-4F6C-A589-7FB0C5B2933C}"/>
  <bookViews>
    <workbookView xWindow="0" yWindow="0" windowWidth="19200" windowHeight="7637" firstSheet="3" activeTab="5" xr2:uid="{00000000-000D-0000-FFFF-FFFF00000000}"/>
  </bookViews>
  <sheets>
    <sheet name="TEP" sheetId="7" r:id="rId1"/>
    <sheet name="GWh" sheetId="3" r:id="rId2"/>
    <sheet name="Consommation électrique mois" sheetId="1" r:id="rId3"/>
    <sheet name="Consommateurs" sheetId="8" r:id="rId4"/>
    <sheet name="CONSOMMATION PAR COMMUNE" sheetId="4" r:id="rId5"/>
    <sheet name="CARBURANT " sheetId="6" r:id="rId6"/>
  </sheets>
  <externalReferences>
    <externalReference r:id="rId7"/>
    <externalReference r:id="rId8"/>
    <externalReference r:id="rId9"/>
    <externalReference r:id="rId10"/>
  </externalReferences>
  <definedNames>
    <definedName name="autre" localSheetId="3">[1]TEP!#REF!</definedName>
    <definedName name="autre" localSheetId="0">[1]TEP!#REF!</definedName>
    <definedName name="autre">[1]TEP!#REF!</definedName>
    <definedName name="brut">'[2]Données (T et tep)'!$C$72</definedName>
    <definedName name="es">'[2]Données (T et tep)'!$C$74</definedName>
    <definedName name="Essence" comment="conversion tonne en tep " localSheetId="3">GWh!#REF!</definedName>
    <definedName name="Essence" comment="conversion tonne en tep " localSheetId="0">TEP!#REF!</definedName>
    <definedName name="Essence" comment="conversion tonne en tep ">GWh!#REF!</definedName>
    <definedName name="Fioul" comment="conversion tonne en tep " localSheetId="3">GWh!#REF!</definedName>
    <definedName name="Fioul" comment="conversion tonne en tep " localSheetId="0">TEP!#REF!</definedName>
    <definedName name="Fioul" comment="conversion tonne en tep ">GWh!#REF!</definedName>
    <definedName name="fioullourd" localSheetId="3">'[2]Données (T et tep)'!#REF!</definedName>
    <definedName name="fioullourd" localSheetId="0">'[2]Données (T et tep)'!#REF!</definedName>
    <definedName name="fioullourd">'[2]Données (T et tep)'!#REF!</definedName>
    <definedName name="fod">'[2]Données (T et tep)'!$C$75</definedName>
    <definedName name="geothermie">[1]TEP!$B$70</definedName>
    <definedName name="GMh" comment="convertion tep en MGh" localSheetId="3">GWh!#REF!</definedName>
    <definedName name="GMh" comment="convertion tep en MGh" localSheetId="0">TEP!#REF!</definedName>
    <definedName name="GMh" comment="convertion tep en MGh">GWh!#REF!</definedName>
    <definedName name="gpl" comment="convension tonne en tep " localSheetId="3">GWh!#REF!</definedName>
    <definedName name="gpl" comment="convension tonne en tep " localSheetId="0">TEP!#REF!</definedName>
    <definedName name="gpl" comment="convension tonne en tep ">GWh!#REF!</definedName>
    <definedName name="gtep">'[2]Données (T et tep)'!$C$73</definedName>
    <definedName name="houile">'[2]Données (T et tep)'!$C$71</definedName>
    <definedName name="houille" comment="convertion tep houille depuis tonne" localSheetId="3">GWh!#REF!</definedName>
    <definedName name="houille" comment="conversion tonne en tep " localSheetId="1">GWh!#REF!</definedName>
    <definedName name="houille" comment="conversion tonne en tep " localSheetId="0">TEP!#REF!</definedName>
    <definedName name="houille" comment="convertion tep houille depuis tonne">GWh!#REF!</definedName>
    <definedName name="ktep">[3]CES!$K$1</definedName>
    <definedName name="MWHEVITE">[3]CES!$J$1</definedName>
    <definedName name="variation13">'CONSOMMATION PAR COMMUNE'!$H$39</definedName>
    <definedName name="_xlnm.Print_Area" localSheetId="1">GWh!$A$1:$O$43</definedName>
    <definedName name="_xlnm.Print_Area" localSheetId="0">TEP!$A$1:$O$45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D7" i="6"/>
  <c r="E7" i="6"/>
  <c r="E8" i="6" s="1"/>
  <c r="F7" i="6"/>
  <c r="G8" i="6" s="1"/>
  <c r="G7" i="6"/>
  <c r="H7" i="6"/>
  <c r="B7" i="6"/>
  <c r="C8" i="6" s="1"/>
  <c r="D8" i="6"/>
  <c r="H8" i="6"/>
  <c r="E13" i="8"/>
  <c r="D13" i="8"/>
  <c r="N11" i="8"/>
  <c r="F12" i="8"/>
  <c r="F13" i="8" s="1"/>
  <c r="E12" i="8"/>
  <c r="D12" i="8"/>
  <c r="C12" i="8"/>
  <c r="C27" i="8"/>
  <c r="C16" i="8" s="1"/>
  <c r="D27" i="8"/>
  <c r="D16" i="8" s="1"/>
  <c r="E27" i="8"/>
  <c r="E16" i="8" s="1"/>
  <c r="F27" i="8"/>
  <c r="F16" i="8" s="1"/>
  <c r="C28" i="8"/>
  <c r="C17" i="8" s="1"/>
  <c r="D28" i="8"/>
  <c r="D17" i="8" s="1"/>
  <c r="E28" i="8"/>
  <c r="E17" i="8" s="1"/>
  <c r="F28" i="8"/>
  <c r="F17" i="8" s="1"/>
  <c r="C29" i="8"/>
  <c r="C18" i="8" s="1"/>
  <c r="D29" i="8"/>
  <c r="D18" i="8" s="1"/>
  <c r="E29" i="8"/>
  <c r="E18" i="8" s="1"/>
  <c r="F29" i="8"/>
  <c r="F18" i="8" s="1"/>
  <c r="C30" i="8"/>
  <c r="C19" i="8" s="1"/>
  <c r="D30" i="8"/>
  <c r="D19" i="8" s="1"/>
  <c r="E30" i="8"/>
  <c r="E19" i="8" s="1"/>
  <c r="F30" i="8"/>
  <c r="F19" i="8" s="1"/>
  <c r="C31" i="8"/>
  <c r="C20" i="8" s="1"/>
  <c r="D31" i="8"/>
  <c r="D20" i="8" s="1"/>
  <c r="E31" i="8"/>
  <c r="E20" i="8" s="1"/>
  <c r="F31" i="8"/>
  <c r="F20" i="8" s="1"/>
  <c r="C32" i="8"/>
  <c r="C21" i="8" s="1"/>
  <c r="D32" i="8"/>
  <c r="D21" i="8" s="1"/>
  <c r="E32" i="8"/>
  <c r="E21" i="8" s="1"/>
  <c r="F32" i="8"/>
  <c r="F21" i="8" s="1"/>
  <c r="C33" i="8"/>
  <c r="C22" i="8" s="1"/>
  <c r="D33" i="8"/>
  <c r="D22" i="8" s="1"/>
  <c r="E33" i="8"/>
  <c r="E22" i="8" s="1"/>
  <c r="F33" i="8"/>
  <c r="F22" i="8" s="1"/>
  <c r="E53" i="8"/>
  <c r="D53" i="8"/>
  <c r="F52" i="8"/>
  <c r="F53" i="8" s="1"/>
  <c r="F51" i="8"/>
  <c r="F50" i="8"/>
  <c r="F49" i="8"/>
  <c r="F48" i="8"/>
  <c r="D45" i="8"/>
  <c r="E45" i="8"/>
  <c r="F45" i="8"/>
  <c r="C45" i="8"/>
  <c r="B30" i="3"/>
  <c r="C30" i="3"/>
  <c r="D30" i="3"/>
  <c r="E30" i="3"/>
  <c r="F30" i="3"/>
  <c r="G30" i="3"/>
  <c r="I30" i="3"/>
  <c r="B32" i="3"/>
  <c r="C32" i="3"/>
  <c r="D32" i="3"/>
  <c r="E32" i="3"/>
  <c r="F32" i="3"/>
  <c r="G32" i="3"/>
  <c r="H32" i="3"/>
  <c r="I32" i="3"/>
  <c r="J32" i="3"/>
  <c r="F8" i="6" l="1"/>
  <c r="F34" i="8"/>
  <c r="C34" i="8"/>
  <c r="E23" i="8"/>
  <c r="C23" i="8"/>
  <c r="D23" i="8"/>
  <c r="D34" i="8"/>
  <c r="E34" i="8"/>
  <c r="C5" i="7"/>
  <c r="C5" i="3" s="1"/>
  <c r="C6" i="7"/>
  <c r="C8" i="7"/>
  <c r="B5" i="7"/>
  <c r="B6" i="7"/>
  <c r="B8" i="7"/>
  <c r="D5" i="7"/>
  <c r="D6" i="7"/>
  <c r="D8" i="7"/>
  <c r="E5" i="7"/>
  <c r="E5" i="3" s="1"/>
  <c r="E6" i="7"/>
  <c r="E8" i="7"/>
  <c r="F5" i="7"/>
  <c r="F5" i="3" s="1"/>
  <c r="F6" i="7"/>
  <c r="F8" i="7"/>
  <c r="G5" i="7"/>
  <c r="G5" i="3" s="1"/>
  <c r="G6" i="7"/>
  <c r="G6" i="3" s="1"/>
  <c r="G7" i="7"/>
  <c r="G8" i="7"/>
  <c r="H5" i="7"/>
  <c r="H5" i="3" s="1"/>
  <c r="H6" i="7"/>
  <c r="H6" i="3" s="1"/>
  <c r="H7" i="7"/>
  <c r="H14" i="7" s="1"/>
  <c r="H8" i="7"/>
  <c r="I5" i="7"/>
  <c r="I5" i="3" s="1"/>
  <c r="I6" i="7"/>
  <c r="I7" i="7"/>
  <c r="I14" i="7" s="1"/>
  <c r="I8" i="7"/>
  <c r="J5" i="7"/>
  <c r="J5" i="3" s="1"/>
  <c r="J6" i="7"/>
  <c r="J7" i="7"/>
  <c r="J8" i="7"/>
  <c r="D6" i="3"/>
  <c r="D7" i="3"/>
  <c r="D8" i="3"/>
  <c r="C6" i="3"/>
  <c r="C7" i="3"/>
  <c r="C8" i="3"/>
  <c r="E6" i="3"/>
  <c r="E7" i="3"/>
  <c r="E13" i="3" s="1"/>
  <c r="E8" i="3"/>
  <c r="F7" i="3"/>
  <c r="F8" i="3"/>
  <c r="G7" i="3"/>
  <c r="G13" i="3" s="1"/>
  <c r="G8" i="3"/>
  <c r="H7" i="3"/>
  <c r="H13" i="3" s="1"/>
  <c r="H8" i="3"/>
  <c r="I6" i="3"/>
  <c r="I7" i="3"/>
  <c r="I13" i="3" s="1"/>
  <c r="I8" i="3"/>
  <c r="J6" i="3"/>
  <c r="J7" i="3"/>
  <c r="J8" i="3"/>
  <c r="B6" i="3"/>
  <c r="B7" i="3"/>
  <c r="B8" i="3"/>
  <c r="J20" i="6"/>
  <c r="J27" i="6" s="1"/>
  <c r="I20" i="6"/>
  <c r="I27" i="6" s="1"/>
  <c r="H20" i="6"/>
  <c r="H27" i="6" s="1"/>
  <c r="G20" i="6"/>
  <c r="G27" i="6"/>
  <c r="F16" i="6"/>
  <c r="F17" i="6"/>
  <c r="I26" i="6"/>
  <c r="H26" i="6"/>
  <c r="G26" i="6"/>
  <c r="I25" i="6"/>
  <c r="H25" i="6"/>
  <c r="G25" i="6"/>
  <c r="I24" i="6"/>
  <c r="H24" i="6"/>
  <c r="G24" i="6"/>
  <c r="I21" i="6"/>
  <c r="C14" i="3"/>
  <c r="D14" i="3"/>
  <c r="E14" i="3"/>
  <c r="F14" i="3"/>
  <c r="G14" i="3"/>
  <c r="H14" i="3"/>
  <c r="I14" i="3"/>
  <c r="B14" i="3"/>
  <c r="I24" i="7"/>
  <c r="G24" i="7"/>
  <c r="F24" i="7"/>
  <c r="E24" i="7"/>
  <c r="D24" i="7"/>
  <c r="C24" i="7"/>
  <c r="B24" i="7"/>
  <c r="J26" i="7"/>
  <c r="I26" i="7"/>
  <c r="H26" i="7"/>
  <c r="G26" i="7"/>
  <c r="F26" i="7"/>
  <c r="E26" i="7"/>
  <c r="D26" i="7"/>
  <c r="C26" i="7"/>
  <c r="B26" i="7"/>
  <c r="I15" i="7"/>
  <c r="H15" i="7"/>
  <c r="G15" i="7"/>
  <c r="F15" i="7"/>
  <c r="E15" i="7"/>
  <c r="D15" i="7"/>
  <c r="C15" i="7"/>
  <c r="B15" i="7"/>
  <c r="G14" i="7"/>
  <c r="F14" i="7"/>
  <c r="E14" i="7"/>
  <c r="D14" i="7"/>
  <c r="C14" i="7"/>
  <c r="B14" i="7"/>
  <c r="I5" i="6"/>
  <c r="I7" i="6" s="1"/>
  <c r="I8" i="6" s="1"/>
  <c r="J5" i="6"/>
  <c r="J7" i="6" s="1"/>
  <c r="I6" i="6"/>
  <c r="J6" i="6"/>
  <c r="B11" i="6"/>
  <c r="C10" i="6"/>
  <c r="F11" i="6"/>
  <c r="G10" i="6"/>
  <c r="D10" i="6"/>
  <c r="E10" i="6"/>
  <c r="H10" i="6"/>
  <c r="D11" i="6"/>
  <c r="E11" i="6"/>
  <c r="H11" i="6"/>
  <c r="E7" i="4"/>
  <c r="I7" i="4"/>
  <c r="M7" i="4"/>
  <c r="O7" i="4"/>
  <c r="R7" i="4"/>
  <c r="T7" i="4"/>
  <c r="E8" i="4"/>
  <c r="I8" i="4"/>
  <c r="M8" i="4"/>
  <c r="O8" i="4"/>
  <c r="R8" i="4"/>
  <c r="T8" i="4"/>
  <c r="E9" i="4"/>
  <c r="I9" i="4"/>
  <c r="M9" i="4"/>
  <c r="O9" i="4"/>
  <c r="R9" i="4"/>
  <c r="T9" i="4"/>
  <c r="E10" i="4"/>
  <c r="I10" i="4"/>
  <c r="M10" i="4"/>
  <c r="O10" i="4"/>
  <c r="R10" i="4"/>
  <c r="T10" i="4"/>
  <c r="E11" i="4"/>
  <c r="I11" i="4"/>
  <c r="M11" i="4"/>
  <c r="O11" i="4"/>
  <c r="R11" i="4"/>
  <c r="T11" i="4"/>
  <c r="E12" i="4"/>
  <c r="I12" i="4"/>
  <c r="M12" i="4"/>
  <c r="O12" i="4"/>
  <c r="R12" i="4"/>
  <c r="T12" i="4"/>
  <c r="E13" i="4"/>
  <c r="I13" i="4"/>
  <c r="M13" i="4"/>
  <c r="O13" i="4"/>
  <c r="R13" i="4"/>
  <c r="T13" i="4"/>
  <c r="E14" i="4"/>
  <c r="I14" i="4"/>
  <c r="M14" i="4"/>
  <c r="O14" i="4"/>
  <c r="R14" i="4"/>
  <c r="T14" i="4"/>
  <c r="E15" i="4"/>
  <c r="I15" i="4"/>
  <c r="M15" i="4"/>
  <c r="O15" i="4"/>
  <c r="R15" i="4"/>
  <c r="T15" i="4"/>
  <c r="E16" i="4"/>
  <c r="I16" i="4"/>
  <c r="M16" i="4"/>
  <c r="O16" i="4"/>
  <c r="R16" i="4"/>
  <c r="T16" i="4"/>
  <c r="E17" i="4"/>
  <c r="I17" i="4"/>
  <c r="M17" i="4"/>
  <c r="O17" i="4"/>
  <c r="R17" i="4"/>
  <c r="T17" i="4"/>
  <c r="E18" i="4"/>
  <c r="I18" i="4"/>
  <c r="M18" i="4"/>
  <c r="O18" i="4"/>
  <c r="R18" i="4"/>
  <c r="T18" i="4"/>
  <c r="E19" i="4"/>
  <c r="I19" i="4"/>
  <c r="M19" i="4"/>
  <c r="O19" i="4"/>
  <c r="R19" i="4"/>
  <c r="T19" i="4"/>
  <c r="E20" i="4"/>
  <c r="I20" i="4"/>
  <c r="M20" i="4"/>
  <c r="O20" i="4"/>
  <c r="R20" i="4"/>
  <c r="T20" i="4"/>
  <c r="E21" i="4"/>
  <c r="I21" i="4"/>
  <c r="M21" i="4"/>
  <c r="O21" i="4"/>
  <c r="R21" i="4"/>
  <c r="T21" i="4"/>
  <c r="E22" i="4"/>
  <c r="I22" i="4"/>
  <c r="M22" i="4"/>
  <c r="O22" i="4"/>
  <c r="R22" i="4"/>
  <c r="T22" i="4"/>
  <c r="E23" i="4"/>
  <c r="I23" i="4"/>
  <c r="M23" i="4"/>
  <c r="O23" i="4"/>
  <c r="R23" i="4"/>
  <c r="T23" i="4"/>
  <c r="E24" i="4"/>
  <c r="I24" i="4"/>
  <c r="M24" i="4"/>
  <c r="O24" i="4"/>
  <c r="R24" i="4"/>
  <c r="T24" i="4"/>
  <c r="E25" i="4"/>
  <c r="I25" i="4"/>
  <c r="M25" i="4"/>
  <c r="O25" i="4"/>
  <c r="R25" i="4"/>
  <c r="T25" i="4"/>
  <c r="E26" i="4"/>
  <c r="I26" i="4"/>
  <c r="M26" i="4"/>
  <c r="O26" i="4"/>
  <c r="R26" i="4"/>
  <c r="T26" i="4"/>
  <c r="E27" i="4"/>
  <c r="I27" i="4"/>
  <c r="M27" i="4"/>
  <c r="O27" i="4"/>
  <c r="R27" i="4"/>
  <c r="T27" i="4"/>
  <c r="E28" i="4"/>
  <c r="I28" i="4"/>
  <c r="M28" i="4"/>
  <c r="O28" i="4"/>
  <c r="R28" i="4"/>
  <c r="T28" i="4"/>
  <c r="E29" i="4"/>
  <c r="I29" i="4"/>
  <c r="M29" i="4"/>
  <c r="O29" i="4"/>
  <c r="R29" i="4"/>
  <c r="T29" i="4"/>
  <c r="E30" i="4"/>
  <c r="I30" i="4"/>
  <c r="M30" i="4"/>
  <c r="O30" i="4"/>
  <c r="R30" i="4"/>
  <c r="T30" i="4"/>
  <c r="E31" i="4"/>
  <c r="I31" i="4"/>
  <c r="M31" i="4"/>
  <c r="O31" i="4"/>
  <c r="R31" i="4"/>
  <c r="T31" i="4"/>
  <c r="E32" i="4"/>
  <c r="I32" i="4"/>
  <c r="M32" i="4"/>
  <c r="O32" i="4"/>
  <c r="R32" i="4"/>
  <c r="T32" i="4"/>
  <c r="E33" i="4"/>
  <c r="I33" i="4"/>
  <c r="M33" i="4"/>
  <c r="O33" i="4"/>
  <c r="R33" i="4"/>
  <c r="T33" i="4"/>
  <c r="E34" i="4"/>
  <c r="I34" i="4"/>
  <c r="M34" i="4"/>
  <c r="O34" i="4"/>
  <c r="R34" i="4"/>
  <c r="T34" i="4"/>
  <c r="E35" i="4"/>
  <c r="I35" i="4"/>
  <c r="M35" i="4"/>
  <c r="O35" i="4"/>
  <c r="R35" i="4"/>
  <c r="T35" i="4"/>
  <c r="E36" i="4"/>
  <c r="I36" i="4"/>
  <c r="M36" i="4"/>
  <c r="O36" i="4"/>
  <c r="R36" i="4"/>
  <c r="T36" i="4"/>
  <c r="E37" i="4"/>
  <c r="I37" i="4"/>
  <c r="M37" i="4"/>
  <c r="O37" i="4"/>
  <c r="R37" i="4"/>
  <c r="T37" i="4"/>
  <c r="E38" i="4"/>
  <c r="I38" i="4"/>
  <c r="M38" i="4"/>
  <c r="O38" i="4"/>
  <c r="R38" i="4"/>
  <c r="T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 s="1"/>
  <c r="S39" i="4"/>
  <c r="B13" i="3"/>
  <c r="C13" i="3"/>
  <c r="D13" i="3"/>
  <c r="F13" i="3"/>
  <c r="J13" i="3"/>
  <c r="N4" i="1"/>
  <c r="O4" i="1"/>
  <c r="N5" i="1"/>
  <c r="O5" i="1"/>
  <c r="N6" i="1"/>
  <c r="O6" i="1"/>
  <c r="B8" i="1"/>
  <c r="C8" i="1"/>
  <c r="D8" i="1"/>
  <c r="E8" i="1"/>
  <c r="F8" i="1"/>
  <c r="H8" i="1"/>
  <c r="I8" i="1"/>
  <c r="J8" i="1"/>
  <c r="K8" i="1"/>
  <c r="L8" i="1"/>
  <c r="M8" i="1"/>
  <c r="N13" i="1"/>
  <c r="O13" i="1"/>
  <c r="J21" i="6" l="1"/>
  <c r="I11" i="6"/>
  <c r="J24" i="6"/>
  <c r="J25" i="6"/>
  <c r="J26" i="6"/>
  <c r="J8" i="6"/>
  <c r="H21" i="6"/>
  <c r="F20" i="6"/>
  <c r="F24" i="6" s="1"/>
  <c r="G11" i="6"/>
  <c r="C11" i="6"/>
  <c r="F10" i="6"/>
  <c r="B10" i="6"/>
  <c r="T39" i="4"/>
  <c r="F24" i="8"/>
  <c r="E24" i="8"/>
  <c r="D24" i="8"/>
  <c r="D9" i="7"/>
  <c r="D27" i="7" s="1"/>
  <c r="D5" i="3"/>
  <c r="D9" i="3" s="1"/>
  <c r="E9" i="7"/>
  <c r="J9" i="3"/>
  <c r="G9" i="7"/>
  <c r="G10" i="7" s="1"/>
  <c r="J9" i="7"/>
  <c r="J27" i="7" s="1"/>
  <c r="H9" i="7"/>
  <c r="H10" i="7" s="1"/>
  <c r="B9" i="7"/>
  <c r="H9" i="3"/>
  <c r="H10" i="3" s="1"/>
  <c r="I10" i="6"/>
  <c r="F9" i="7"/>
  <c r="F27" i="7" s="1"/>
  <c r="E9" i="3"/>
  <c r="E15" i="3" s="1"/>
  <c r="I9" i="3"/>
  <c r="G9" i="3"/>
  <c r="G15" i="3" s="1"/>
  <c r="C9" i="3"/>
  <c r="C15" i="3" s="1"/>
  <c r="J10" i="7"/>
  <c r="H27" i="7"/>
  <c r="B16" i="7"/>
  <c r="B27" i="7"/>
  <c r="B10" i="7"/>
  <c r="F16" i="7"/>
  <c r="J10" i="3"/>
  <c r="E10" i="7"/>
  <c r="E11" i="7"/>
  <c r="E16" i="7"/>
  <c r="E27" i="7"/>
  <c r="C10" i="3"/>
  <c r="I9" i="7"/>
  <c r="J14" i="7"/>
  <c r="B5" i="3"/>
  <c r="B9" i="3" s="1"/>
  <c r="C9" i="7"/>
  <c r="J11" i="6"/>
  <c r="D10" i="7"/>
  <c r="G16" i="7"/>
  <c r="F6" i="3"/>
  <c r="F9" i="3" s="1"/>
  <c r="E10" i="3" l="1"/>
  <c r="D11" i="3"/>
  <c r="G10" i="3"/>
  <c r="F26" i="6"/>
  <c r="G21" i="6"/>
  <c r="F27" i="6"/>
  <c r="F25" i="6"/>
  <c r="J10" i="6"/>
  <c r="D16" i="7"/>
  <c r="H15" i="3"/>
  <c r="H16" i="3" s="1"/>
  <c r="G27" i="7"/>
  <c r="D10" i="3"/>
  <c r="H11" i="3"/>
  <c r="D15" i="3"/>
  <c r="D16" i="3" s="1"/>
  <c r="E11" i="3"/>
  <c r="I11" i="3"/>
  <c r="F11" i="7"/>
  <c r="H16" i="7"/>
  <c r="H17" i="7" s="1"/>
  <c r="F10" i="7"/>
  <c r="H11" i="7"/>
  <c r="G11" i="7"/>
  <c r="I10" i="3"/>
  <c r="I15" i="3"/>
  <c r="J11" i="3"/>
  <c r="F15" i="3"/>
  <c r="F16" i="3" s="1"/>
  <c r="F10" i="3"/>
  <c r="F11" i="3"/>
  <c r="G17" i="7"/>
  <c r="I11" i="7"/>
  <c r="I10" i="7"/>
  <c r="I16" i="7"/>
  <c r="I27" i="7"/>
  <c r="G11" i="3"/>
  <c r="E17" i="7"/>
  <c r="B15" i="3"/>
  <c r="C16" i="3" s="1"/>
  <c r="B10" i="3"/>
  <c r="C11" i="3"/>
  <c r="C16" i="7"/>
  <c r="D17" i="7" s="1"/>
  <c r="C27" i="7"/>
  <c r="C11" i="7"/>
  <c r="C10" i="7"/>
  <c r="D11" i="7"/>
  <c r="F17" i="7"/>
  <c r="J11" i="7"/>
  <c r="I16" i="3" l="1"/>
  <c r="G16" i="3"/>
  <c r="E16" i="3"/>
  <c r="C17" i="7"/>
  <c r="I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BELFORT Amélie</author>
  </authors>
  <commentList>
    <comment ref="A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BELFORT Amélie:</t>
        </r>
        <r>
          <rPr>
            <sz val="9"/>
            <color indexed="81"/>
            <rFont val="Tahoma"/>
            <family val="2"/>
          </rPr>
          <t xml:space="preserve">
Tous secteurs confondus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BONINE Cynthia</author>
  </authors>
  <commentList>
    <comment ref="I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BONINE Cynthia:</t>
        </r>
        <r>
          <rPr>
            <sz val="9"/>
            <color indexed="81"/>
            <rFont val="Tahoma"/>
            <family val="2"/>
          </rPr>
          <t xml:space="preserve">
est ce que j'inclus gazole 10ppm et gazeole GOA CAD LES + car la c'est laddition de gazoile + sans plomd</t>
        </r>
      </text>
    </comment>
  </commentList>
</comments>
</file>

<file path=xl/sharedStrings.xml><?xml version="1.0" encoding="utf-8"?>
<sst xmlns="http://schemas.openxmlformats.org/spreadsheetml/2006/main" count="268" uniqueCount="151">
  <si>
    <t>Température nocturne moyenne °C</t>
  </si>
  <si>
    <t>Températures diurne moyenne °C</t>
  </si>
  <si>
    <t>NBJ TN &lt; 25°C</t>
  </si>
  <si>
    <t>NBJ TX &gt; 32°C</t>
  </si>
  <si>
    <t xml:space="preserve">Moyenne annuelle </t>
  </si>
  <si>
    <t>Total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</si>
  <si>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</si>
  <si>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</si>
  <si>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</si>
  <si>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</si>
  <si>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</si>
  <si>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</si>
  <si>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</si>
  <si>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</si>
  <si>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</si>
  <si>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</si>
  <si>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</si>
  <si>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</si>
  <si>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°c</t>
  </si>
  <si>
    <t>Températures moyennes au Raizet en °c</t>
  </si>
  <si>
    <t>MW</t>
  </si>
  <si>
    <t>Puissance Maximale (MW)</t>
  </si>
  <si>
    <t>Déc</t>
  </si>
  <si>
    <t>Nov</t>
  </si>
  <si>
    <t>Oct</t>
  </si>
  <si>
    <t>Sept</t>
  </si>
  <si>
    <t>Fév</t>
  </si>
  <si>
    <t>Janv</t>
  </si>
  <si>
    <t xml:space="preserve">MWh </t>
  </si>
  <si>
    <t>Consommation mensuel en MWh</t>
  </si>
  <si>
    <t xml:space="preserve">Service public </t>
  </si>
  <si>
    <t>Service commun d'immeuble</t>
  </si>
  <si>
    <t>Professionnel</t>
  </si>
  <si>
    <t>Eclairage public</t>
  </si>
  <si>
    <t>Domestique</t>
  </si>
  <si>
    <t>Collectivité</t>
  </si>
  <si>
    <t>Agriculture</t>
  </si>
  <si>
    <t>TOTAL</t>
  </si>
  <si>
    <t xml:space="preserve">% de la conso </t>
  </si>
  <si>
    <t>Consommation calculée</t>
  </si>
  <si>
    <t>Consommation annuelle</t>
  </si>
  <si>
    <t>Nombre Clients</t>
  </si>
  <si>
    <t>Tarif vert</t>
  </si>
  <si>
    <t>Tarif bleu plus</t>
  </si>
  <si>
    <t>Tarif bleu</t>
  </si>
  <si>
    <t>Autres tarif bleu</t>
  </si>
  <si>
    <t>Consommation finale (Ktep)</t>
  </si>
  <si>
    <t xml:space="preserve">Population </t>
  </si>
  <si>
    <t xml:space="preserve">PIB  en kM€ </t>
  </si>
  <si>
    <t xml:space="preserve">PIB  EN Million d’euro </t>
  </si>
  <si>
    <t>Maritime</t>
  </si>
  <si>
    <t>Routier</t>
  </si>
  <si>
    <t>Non routier (agriculture, chantier)</t>
  </si>
  <si>
    <t>Aérien</t>
  </si>
  <si>
    <t>Non routier (agriculture, chantier, industrie)</t>
  </si>
  <si>
    <t>Consommation secteur transports en tonne</t>
  </si>
  <si>
    <t>Production enr</t>
  </si>
  <si>
    <r>
      <t xml:space="preserve"> Intensité énergétique finale </t>
    </r>
    <r>
      <rPr>
        <b/>
        <sz val="11"/>
        <color theme="1"/>
        <rFont val="Calibri"/>
        <family val="2"/>
        <scheme val="minor"/>
      </rPr>
      <t>(tep/M€)</t>
    </r>
  </si>
  <si>
    <r>
      <t xml:space="preserve"> Intensité énergétique primaire</t>
    </r>
    <r>
      <rPr>
        <b/>
        <sz val="11"/>
        <color theme="1"/>
        <rFont val="Calibri"/>
        <family val="2"/>
        <scheme val="minor"/>
      </rPr>
      <t xml:space="preserve"> (tep/M€)</t>
    </r>
  </si>
  <si>
    <r>
      <t xml:space="preserve">Consommation électrique/ habitant  </t>
    </r>
    <r>
      <rPr>
        <b/>
        <sz val="11"/>
        <color theme="1"/>
        <rFont val="Calibri"/>
        <family val="2"/>
        <scheme val="minor"/>
      </rPr>
      <t>(tep)</t>
    </r>
  </si>
  <si>
    <r>
      <t xml:space="preserve">Consommation électrique brute / habitant  </t>
    </r>
    <r>
      <rPr>
        <b/>
        <sz val="11"/>
        <color theme="1"/>
        <rFont val="Calibri"/>
        <family val="2"/>
        <scheme val="minor"/>
      </rPr>
      <t xml:space="preserve">(MWh) avec perte en ligne </t>
    </r>
  </si>
  <si>
    <t xml:space="preserve">Consommation et population </t>
  </si>
  <si>
    <t xml:space="preserve">Total </t>
  </si>
  <si>
    <t xml:space="preserve">Chaleur </t>
  </si>
  <si>
    <t>Electricité</t>
  </si>
  <si>
    <t>Produits pétroliers</t>
  </si>
  <si>
    <t xml:space="preserve">Tous secteurs confondus </t>
  </si>
  <si>
    <t xml:space="preserve">Part des types d'énergie dans consommation finale </t>
  </si>
  <si>
    <t>Consommation finale (GWh)</t>
  </si>
  <si>
    <t>Conso finale/hab (tep)</t>
  </si>
  <si>
    <t>CONSOMMATION ENERGIE FINALE</t>
  </si>
  <si>
    <t>GRAND BOURG</t>
  </si>
  <si>
    <t>CAPESTERRE</t>
  </si>
  <si>
    <t>SAINT LOUIS</t>
  </si>
  <si>
    <t>Communauté de Commune de Marie-Galante</t>
  </si>
  <si>
    <t>TERRE DE HAUT</t>
  </si>
  <si>
    <t>TERRE DE BAS</t>
  </si>
  <si>
    <t>CAPESTERRE B-E</t>
  </si>
  <si>
    <t>BOUILLANTE</t>
  </si>
  <si>
    <t>VIEUX-HABITANTS</t>
  </si>
  <si>
    <t>VIEUX-FORT</t>
  </si>
  <si>
    <t>TROIS-RIVIERE</t>
  </si>
  <si>
    <t>GOURBEYRE</t>
  </si>
  <si>
    <t>BAILLIF</t>
  </si>
  <si>
    <t>St CLAUDE</t>
  </si>
  <si>
    <t>BASSE-TERRE</t>
  </si>
  <si>
    <t>Communauté d'agglomération Sud Basse Terre</t>
  </si>
  <si>
    <t>PETIT-BOURG</t>
  </si>
  <si>
    <t>GOYAVE</t>
  </si>
  <si>
    <t>POINTE-NOIRE</t>
  </si>
  <si>
    <t>DESHAIES</t>
  </si>
  <si>
    <t>LAMENTIN</t>
  </si>
  <si>
    <t>Ste ROSE</t>
  </si>
  <si>
    <t>Communauté d'agglomération Nord Basse Terre</t>
  </si>
  <si>
    <t>DESIRADE</t>
  </si>
  <si>
    <t>GOSIER</t>
  </si>
  <si>
    <t>Ste ANNE</t>
  </si>
  <si>
    <t>St FRANCOIS</t>
  </si>
  <si>
    <t>Communauté de Commune La Riviéra</t>
  </si>
  <si>
    <t>BAIE-MAHAULT</t>
  </si>
  <si>
    <t>POINTE-A-PITRE</t>
  </si>
  <si>
    <t>ABYMES</t>
  </si>
  <si>
    <t>CAP Excelence</t>
  </si>
  <si>
    <t>ANSE-BERTRAND</t>
  </si>
  <si>
    <t>PORT-LOUIS</t>
  </si>
  <si>
    <t>PETIT-CANAL</t>
  </si>
  <si>
    <t>MOULE</t>
  </si>
  <si>
    <t>MORNE-A-l'EAU</t>
  </si>
  <si>
    <t>Communauté d'agglomération nord grande terre</t>
  </si>
  <si>
    <t xml:space="preserve"> Consommation en MWh</t>
  </si>
  <si>
    <t>Consommation/hab</t>
  </si>
  <si>
    <t>Population</t>
  </si>
  <si>
    <t>Communes</t>
  </si>
  <si>
    <t>Collectivités</t>
  </si>
  <si>
    <t>évolution 2015-2016 conso territoire</t>
  </si>
  <si>
    <t>Patrimoine public</t>
  </si>
  <si>
    <t>Territoire/hab</t>
  </si>
  <si>
    <t>Territoire</t>
  </si>
  <si>
    <t>hab</t>
  </si>
  <si>
    <t>évolution 2014-2015</t>
  </si>
  <si>
    <t>Gasoil</t>
  </si>
  <si>
    <t>Super Sans Plomb</t>
  </si>
  <si>
    <t>Gasoil= 006+066+026+076+046</t>
  </si>
  <si>
    <t>Super Sans Plomb = 003+013</t>
  </si>
  <si>
    <t xml:space="preserve">En tonne </t>
  </si>
  <si>
    <t>Conso finale/hab (MWh)</t>
  </si>
  <si>
    <r>
      <t xml:space="preserve"> Intensité énergétique primaire</t>
    </r>
    <r>
      <rPr>
        <b/>
        <sz val="11"/>
        <color theme="1"/>
        <rFont val="Calibri"/>
        <family val="2"/>
        <scheme val="minor"/>
      </rPr>
      <t xml:space="preserve"> (Gwh/M€)</t>
    </r>
  </si>
  <si>
    <r>
      <t xml:space="preserve"> Intensité énergétique finale </t>
    </r>
    <r>
      <rPr>
        <b/>
        <sz val="11"/>
        <color theme="1"/>
        <rFont val="Calibri"/>
        <family val="2"/>
        <scheme val="minor"/>
      </rPr>
      <t>(GWh/M€)</t>
    </r>
  </si>
  <si>
    <t>Evolution Intensité énergétique finale (tGWh/M€)</t>
  </si>
  <si>
    <t xml:space="preserve">Source: (Fournisseur de données) : EDF SEI, SARA, ALBIOMA LE MOULE, ALBIOMA CARAIBES, GEOTHERMIE BOUILLANTE, QUADRAN CARAIBES, SEC, EDF EN, GARDEL, SIS BONNE MERE </t>
  </si>
  <si>
    <t xml:space="preserve">Evolution interanuelle </t>
  </si>
  <si>
    <t xml:space="preserve">Evolution interannuelle </t>
  </si>
  <si>
    <t xml:space="preserve">Production d'électricité à partir d'énergie renouvelable en GWh </t>
  </si>
  <si>
    <t xml:space="preserve">PIB en  Million d’euro </t>
  </si>
  <si>
    <t>GPL</t>
  </si>
  <si>
    <t xml:space="preserve">Source : EDF SEI </t>
  </si>
  <si>
    <t>Source : Météo-France</t>
  </si>
  <si>
    <t xml:space="preserve">Nombre de client </t>
  </si>
  <si>
    <t xml:space="preserve">Evolution inteannuelle </t>
  </si>
  <si>
    <t>Evolution interannuelle</t>
  </si>
  <si>
    <t xml:space="preserve">Par secteur d'activité </t>
  </si>
  <si>
    <t>Consommation annuelle en MWh</t>
  </si>
  <si>
    <t>Consommation annuelle en GWh</t>
  </si>
  <si>
    <t>Par type de tarif</t>
  </si>
  <si>
    <t>Consommation annuelle par communes en MWh</t>
  </si>
  <si>
    <t>Source : EDF SEI, INSEE</t>
  </si>
  <si>
    <t>Source : SARA, GPAP</t>
  </si>
  <si>
    <t xml:space="preserve">Consommation annuelle de carburant </t>
  </si>
  <si>
    <t xml:space="preserve">Répartition </t>
  </si>
  <si>
    <t xml:space="preserve">tous secteurs confondus </t>
  </si>
  <si>
    <t>Base de données OREC : derniere mise à jour 29/12/2017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</si>
</sst>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0.0"/>
    <numFmt numFmtId="167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8"/>
      <color indexed="18"/>
      <name val="Calibri Light"/>
      <family val="2"/>
    </font>
    <font>
      <b/>
      <sz val="10"/>
      <color rgb="FFC00000"/>
      <name val="Calibri Light"/>
      <family val="2"/>
    </font>
    <font>
      <b/>
      <sz val="12"/>
      <name val="Calibri Light"/>
      <family val="2"/>
    </font>
    <font>
      <b/>
      <sz val="10"/>
      <color theme="0"/>
      <name val="Calibri Light"/>
      <family val="2"/>
    </font>
    <font>
      <sz val="9"/>
      <color theme="1"/>
      <name val="Calibri Light"/>
      <family val="2"/>
    </font>
    <font>
      <sz val="9"/>
      <color indexed="8"/>
      <name val="Calibri Light"/>
      <family val="2"/>
    </font>
    <font>
      <b/>
      <sz val="9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indexed="8"/>
      <name val="Calibri Light"/>
      <family val="2"/>
    </font>
    <font>
      <sz val="11"/>
      <name val="Calibri Light"/>
      <family val="2"/>
    </font>
    <font>
      <b/>
      <sz val="11"/>
      <color theme="0"/>
      <name val="Calibri Light"/>
      <family val="2"/>
    </font>
    <font>
      <sz val="11"/>
      <color rgb="FF000000"/>
      <name val="Calibri Light"/>
      <family val="2"/>
    </font>
    <font>
      <b/>
      <sz val="11"/>
      <color rgb="FFC00000"/>
      <name val="Calibri Light"/>
      <family val="2"/>
    </font>
    <font>
      <b/>
      <sz val="11"/>
      <color theme="6" tint="-0.499984740745262"/>
      <name val="Calibri Light"/>
      <family val="2"/>
    </font>
    <font>
      <b/>
      <sz val="11"/>
      <name val="Calibri Light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theme="1"/>
      <name val="Calibri Light"/>
      <family val="2"/>
    </font>
    <font>
      <sz val="11"/>
      <color theme="0"/>
      <name val="Calibri Light"/>
      <family val="2"/>
    </font>
    <font>
      <b/>
      <sz val="18"/>
      <color theme="0"/>
      <name val="Calibri Light"/>
      <family val="2"/>
    </font>
    <font>
      <b/>
      <sz val="10"/>
      <color theme="1"/>
      <name val="Calibri Light"/>
      <family val="2"/>
    </font>
    <font>
      <sz val="11"/>
      <color rgb="FFC00000"/>
      <name val="Calibri Light"/>
      <family val="2"/>
    </font>
    <font>
      <i/>
      <sz val="11"/>
      <color theme="1"/>
      <name val="Calibri Light"/>
      <family val="2"/>
    </font>
    <font>
      <b/>
      <sz val="20"/>
      <color theme="0"/>
      <name val="Calibri Light"/>
      <family val="2"/>
    </font>
    <font>
      <b/>
      <sz val="12"/>
      <color theme="0"/>
      <name val="Calibri Light"/>
      <family val="2"/>
    </font>
    <font>
      <b/>
      <sz val="16"/>
      <color theme="0"/>
      <name val="Calibri Light"/>
      <family val="2"/>
    </font>
    <font>
      <i/>
      <sz val="10"/>
      <color theme="1"/>
      <name val="Calibri Light"/>
      <family val="2"/>
    </font>
    <font>
      <b/>
      <sz val="9"/>
      <name val="Calibri Light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9"/>
      <color indexed="8"/>
      <name val="Calibri Light"/>
      <family val="2"/>
    </font>
    <font>
      <sz val="9"/>
      <color theme="1"/>
      <name val="Calibri Light"/>
      <family val="2"/>
      <scheme val="major"/>
    </font>
    <font>
      <sz val="11"/>
      <color rgb="FFC00000"/>
      <name val="Calibri Light"/>
      <family val="2"/>
      <scheme val="major"/>
    </font>
    <font>
      <i/>
      <sz val="9"/>
      <color rgb="FF000000"/>
      <name val="Calibri Light"/>
      <family val="2"/>
    </font>
    <font>
      <b/>
      <i/>
      <sz val="9"/>
      <color theme="1"/>
      <name val="Calibri Light"/>
      <family val="2"/>
    </font>
    <font>
      <b/>
      <i/>
      <sz val="10"/>
      <color theme="1"/>
      <name val="Calibri Light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9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234">
    <xf numFmtId="0" fontId="0" fillId="0" borderId="0" xfId="0"/>
    <xf numFmtId="164" fontId="3" fillId="0" borderId="0" xfId="1" applyNumberFormat="1" applyFont="1"/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/>
    </xf>
    <xf numFmtId="9" fontId="3" fillId="0" borderId="0" xfId="2" applyFont="1"/>
    <xf numFmtId="164" fontId="3" fillId="5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Fill="1" applyBorder="1" applyAlignment="1">
      <alignment horizontal="left" wrapText="1"/>
    </xf>
    <xf numFmtId="0" fontId="11" fillId="7" borderId="0" xfId="0" applyFont="1" applyFill="1"/>
    <xf numFmtId="3" fontId="10" fillId="8" borderId="3" xfId="0" applyNumberFormat="1" applyFont="1" applyFill="1" applyBorder="1" applyAlignment="1">
      <alignment horizontal="center"/>
    </xf>
    <xf numFmtId="164" fontId="9" fillId="11" borderId="4" xfId="1" applyNumberFormat="1" applyFont="1" applyFill="1" applyBorder="1"/>
    <xf numFmtId="164" fontId="9" fillId="0" borderId="4" xfId="1" applyNumberFormat="1" applyFont="1" applyBorder="1"/>
    <xf numFmtId="0" fontId="4" fillId="0" borderId="0" xfId="0" applyFont="1"/>
    <xf numFmtId="9" fontId="4" fillId="0" borderId="0" xfId="2" applyFont="1"/>
    <xf numFmtId="0" fontId="12" fillId="0" borderId="0" xfId="0" applyFont="1"/>
    <xf numFmtId="0" fontId="12" fillId="0" borderId="0" xfId="0" applyFont="1" applyAlignment="1">
      <alignment horizontal="center"/>
    </xf>
    <xf numFmtId="10" fontId="4" fillId="0" borderId="0" xfId="2" applyNumberFormat="1" applyFont="1"/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4" fillId="0" borderId="0" xfId="0" applyFont="1" applyFill="1"/>
    <xf numFmtId="0" fontId="18" fillId="0" borderId="0" xfId="0" applyFont="1" applyAlignment="1">
      <alignment horizontal="center" vertical="center"/>
    </xf>
    <xf numFmtId="0" fontId="4" fillId="12" borderId="0" xfId="0" applyFont="1" applyFill="1"/>
    <xf numFmtId="0" fontId="19" fillId="0" borderId="0" xfId="0" applyFont="1" applyFill="1" applyAlignment="1">
      <alignment horizontal="center" vertical="center"/>
    </xf>
    <xf numFmtId="0" fontId="9" fillId="0" borderId="0" xfId="0" applyFont="1" applyFill="1"/>
    <xf numFmtId="43" fontId="9" fillId="0" borderId="0" xfId="0" applyNumberFormat="1" applyFont="1" applyFill="1"/>
    <xf numFmtId="0" fontId="11" fillId="0" borderId="0" xfId="0" applyFont="1" applyFill="1" applyBorder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2" fillId="8" borderId="0" xfId="0" applyFont="1" applyFill="1" applyBorder="1" applyAlignment="1">
      <alignment horizontal="right" vertical="center"/>
    </xf>
    <xf numFmtId="164" fontId="12" fillId="8" borderId="0" xfId="1" applyNumberFormat="1" applyFont="1" applyFill="1" applyBorder="1"/>
    <xf numFmtId="1" fontId="4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6" fontId="28" fillId="0" borderId="0" xfId="0" applyNumberFormat="1" applyFont="1"/>
    <xf numFmtId="9" fontId="28" fillId="0" borderId="0" xfId="2" applyFont="1"/>
    <xf numFmtId="9" fontId="28" fillId="0" borderId="0" xfId="2" applyNumberFormat="1" applyFont="1"/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4" fillId="0" borderId="0" xfId="0" applyFont="1" applyBorder="1"/>
    <xf numFmtId="2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9" fontId="28" fillId="0" borderId="0" xfId="2" applyNumberFormat="1" applyFont="1" applyFill="1" applyBorder="1"/>
    <xf numFmtId="0" fontId="2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166" fontId="28" fillId="0" borderId="0" xfId="0" applyNumberFormat="1" applyFont="1" applyFill="1" applyBorder="1" applyAlignment="1">
      <alignment horizontal="right"/>
    </xf>
    <xf numFmtId="9" fontId="28" fillId="0" borderId="0" xfId="2" applyFont="1" applyFill="1" applyBorder="1" applyAlignment="1">
      <alignment horizontal="right"/>
    </xf>
    <xf numFmtId="9" fontId="28" fillId="0" borderId="0" xfId="2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29" fillId="18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Border="1"/>
    <xf numFmtId="3" fontId="4" fillId="0" borderId="0" xfId="0" applyNumberFormat="1" applyFont="1" applyBorder="1"/>
    <xf numFmtId="0" fontId="4" fillId="14" borderId="0" xfId="0" applyFont="1" applyFill="1" applyBorder="1" applyAlignment="1">
      <alignment horizontal="left" vertical="center"/>
    </xf>
    <xf numFmtId="167" fontId="4" fillId="14" borderId="0" xfId="0" applyNumberFormat="1" applyFont="1" applyFill="1" applyBorder="1"/>
    <xf numFmtId="9" fontId="4" fillId="0" borderId="0" xfId="2" applyNumberFormat="1" applyFont="1" applyBorder="1"/>
    <xf numFmtId="2" fontId="4" fillId="0" borderId="0" xfId="0" applyNumberFormat="1" applyFont="1" applyFill="1" applyBorder="1"/>
    <xf numFmtId="3" fontId="4" fillId="0" borderId="0" xfId="0" applyNumberFormat="1" applyFont="1" applyFill="1" applyBorder="1"/>
    <xf numFmtId="0" fontId="12" fillId="10" borderId="0" xfId="0" applyFont="1" applyFill="1" applyBorder="1" applyAlignment="1">
      <alignment horizontal="left" vertical="center"/>
    </xf>
    <xf numFmtId="167" fontId="12" fillId="10" borderId="0" xfId="0" applyNumberFormat="1" applyFont="1" applyFill="1" applyBorder="1"/>
    <xf numFmtId="165" fontId="28" fillId="0" borderId="0" xfId="2" applyNumberFormat="1" applyFont="1" applyFill="1" applyBorder="1"/>
    <xf numFmtId="4" fontId="4" fillId="0" borderId="0" xfId="0" applyNumberFormat="1" applyFont="1" applyBorder="1" applyAlignment="1">
      <alignment horizontal="right" vertical="center" wrapText="1"/>
    </xf>
    <xf numFmtId="164" fontId="4" fillId="0" borderId="0" xfId="1" applyNumberFormat="1" applyFont="1" applyBorder="1"/>
    <xf numFmtId="0" fontId="4" fillId="0" borderId="0" xfId="0" applyFont="1" applyBorder="1" applyAlignment="1">
      <alignment horizontal="right"/>
    </xf>
    <xf numFmtId="3" fontId="14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14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 wrapText="1"/>
    </xf>
    <xf numFmtId="0" fontId="12" fillId="14" borderId="0" xfId="0" applyFont="1" applyFill="1" applyBorder="1" applyAlignment="1">
      <alignment horizontal="right" vertical="center"/>
    </xf>
    <xf numFmtId="1" fontId="4" fillId="0" borderId="5" xfId="0" applyNumberFormat="1" applyFont="1" applyBorder="1"/>
    <xf numFmtId="0" fontId="12" fillId="15" borderId="0" xfId="0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164" fontId="12" fillId="15" borderId="0" xfId="1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/>
    </xf>
    <xf numFmtId="9" fontId="4" fillId="0" borderId="0" xfId="2" applyFont="1" applyFill="1" applyBorder="1" applyAlignment="1">
      <alignment horizontal="right"/>
    </xf>
    <xf numFmtId="9" fontId="4" fillId="0" borderId="0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/>
    <xf numFmtId="0" fontId="24" fillId="0" borderId="0" xfId="0" applyFont="1" applyFill="1" applyBorder="1"/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center"/>
    </xf>
    <xf numFmtId="164" fontId="24" fillId="0" borderId="0" xfId="1" applyNumberFormat="1" applyFont="1" applyFill="1" applyBorder="1"/>
    <xf numFmtId="0" fontId="24" fillId="0" borderId="0" xfId="1" applyNumberFormat="1" applyFont="1" applyFill="1" applyBorder="1"/>
    <xf numFmtId="1" fontId="24" fillId="0" borderId="0" xfId="0" applyNumberFormat="1" applyFont="1" applyFill="1" applyBorder="1"/>
    <xf numFmtId="10" fontId="24" fillId="0" borderId="0" xfId="2" applyNumberFormat="1" applyFont="1" applyFill="1" applyBorder="1"/>
    <xf numFmtId="4" fontId="4" fillId="0" borderId="0" xfId="0" applyNumberFormat="1" applyFont="1" applyBorder="1"/>
    <xf numFmtId="3" fontId="4" fillId="14" borderId="0" xfId="0" applyNumberFormat="1" applyFont="1" applyFill="1" applyBorder="1"/>
    <xf numFmtId="164" fontId="26" fillId="0" borderId="0" xfId="1" applyNumberFormat="1" applyFont="1"/>
    <xf numFmtId="164" fontId="3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left"/>
    </xf>
    <xf numFmtId="164" fontId="32" fillId="0" borderId="0" xfId="1" applyNumberFormat="1" applyFont="1"/>
    <xf numFmtId="9" fontId="32" fillId="0" borderId="0" xfId="2" applyFont="1"/>
    <xf numFmtId="165" fontId="32" fillId="0" borderId="0" xfId="2" applyNumberFormat="1" applyFont="1"/>
    <xf numFmtId="164" fontId="26" fillId="0" borderId="0" xfId="1" applyNumberFormat="1" applyFont="1" applyBorder="1" applyAlignment="1">
      <alignment horizontal="left"/>
    </xf>
    <xf numFmtId="164" fontId="8" fillId="0" borderId="0" xfId="1" applyNumberFormat="1" applyFont="1" applyFill="1" applyBorder="1" applyAlignment="1"/>
    <xf numFmtId="164" fontId="3" fillId="0" borderId="0" xfId="1" applyNumberFormat="1" applyFont="1" applyFill="1"/>
    <xf numFmtId="164" fontId="6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3" fillId="20" borderId="0" xfId="1" applyNumberFormat="1" applyFont="1" applyFill="1" applyBorder="1"/>
    <xf numFmtId="164" fontId="26" fillId="0" borderId="0" xfId="1" applyNumberFormat="1" applyFont="1" applyFill="1"/>
    <xf numFmtId="164" fontId="7" fillId="0" borderId="0" xfId="1" applyNumberFormat="1" applyFont="1" applyFill="1" applyAlignment="1">
      <alignment horizontal="center"/>
    </xf>
    <xf numFmtId="164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64" fontId="3" fillId="0" borderId="6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5" fillId="2" borderId="9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/>
    <xf numFmtId="164" fontId="5" fillId="2" borderId="11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Border="1"/>
    <xf numFmtId="164" fontId="3" fillId="0" borderId="13" xfId="1" applyNumberFormat="1" applyFont="1" applyBorder="1"/>
    <xf numFmtId="164" fontId="4" fillId="0" borderId="7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34" fillId="0" borderId="0" xfId="0" applyFont="1"/>
    <xf numFmtId="164" fontId="35" fillId="0" borderId="0" xfId="1" applyNumberFormat="1" applyFont="1"/>
    <xf numFmtId="164" fontId="35" fillId="15" borderId="0" xfId="1" applyNumberFormat="1" applyFont="1" applyFill="1"/>
    <xf numFmtId="9" fontId="37" fillId="0" borderId="0" xfId="2" applyFont="1"/>
    <xf numFmtId="164" fontId="38" fillId="0" borderId="0" xfId="1" applyNumberFormat="1" applyFont="1"/>
    <xf numFmtId="9" fontId="35" fillId="0" borderId="0" xfId="2" applyFont="1"/>
    <xf numFmtId="164" fontId="36" fillId="21" borderId="0" xfId="1" applyNumberFormat="1" applyFont="1" applyFill="1"/>
    <xf numFmtId="0" fontId="39" fillId="16" borderId="0" xfId="0" applyFont="1" applyFill="1" applyAlignment="1">
      <alignment horizontal="center" vertical="center"/>
    </xf>
    <xf numFmtId="164" fontId="26" fillId="21" borderId="0" xfId="1" applyNumberFormat="1" applyFont="1" applyFill="1"/>
    <xf numFmtId="164" fontId="36" fillId="14" borderId="0" xfId="1" applyNumberFormat="1" applyFont="1" applyFill="1"/>
    <xf numFmtId="164" fontId="26" fillId="14" borderId="0" xfId="1" applyNumberFormat="1" applyFont="1" applyFill="1"/>
    <xf numFmtId="0" fontId="0" fillId="0" borderId="0" xfId="0" applyBorder="1"/>
    <xf numFmtId="0" fontId="9" fillId="0" borderId="0" xfId="0" applyFont="1" applyBorder="1"/>
    <xf numFmtId="164" fontId="9" fillId="0" borderId="0" xfId="1" applyNumberFormat="1" applyFont="1" applyBorder="1"/>
    <xf numFmtId="3" fontId="10" fillId="10" borderId="0" xfId="0" applyNumberFormat="1" applyFont="1" applyFill="1" applyBorder="1" applyAlignment="1">
      <alignment horizontal="center"/>
    </xf>
    <xf numFmtId="0" fontId="41" fillId="9" borderId="0" xfId="0" applyFont="1" applyFill="1" applyAlignment="1">
      <alignment horizontal="center"/>
    </xf>
    <xf numFmtId="0" fontId="40" fillId="19" borderId="0" xfId="0" applyFont="1" applyFill="1" applyBorder="1" applyAlignment="1">
      <alignment horizontal="left" wrapText="1"/>
    </xf>
    <xf numFmtId="0" fontId="0" fillId="19" borderId="0" xfId="0" applyFill="1"/>
    <xf numFmtId="164" fontId="11" fillId="19" borderId="0" xfId="1" applyNumberFormat="1" applyFont="1" applyFill="1"/>
    <xf numFmtId="1" fontId="9" fillId="0" borderId="0" xfId="0" applyNumberFormat="1" applyFont="1" applyBorder="1"/>
    <xf numFmtId="0" fontId="40" fillId="14" borderId="0" xfId="0" applyFont="1" applyFill="1" applyBorder="1" applyAlignment="1">
      <alignment horizontal="left" wrapText="1"/>
    </xf>
    <xf numFmtId="164" fontId="11" fillId="14" borderId="0" xfId="1" applyNumberFormat="1" applyFont="1" applyFill="1"/>
    <xf numFmtId="165" fontId="9" fillId="0" borderId="0" xfId="2" applyNumberFormat="1" applyFont="1" applyBorder="1"/>
    <xf numFmtId="9" fontId="11" fillId="15" borderId="0" xfId="2" applyFont="1" applyFill="1"/>
    <xf numFmtId="10" fontId="11" fillId="15" borderId="0" xfId="0" applyNumberFormat="1" applyFont="1" applyFill="1"/>
    <xf numFmtId="0" fontId="40" fillId="15" borderId="0" xfId="0" applyFont="1" applyFill="1" applyBorder="1" applyAlignment="1">
      <alignment horizontal="left" wrapText="1"/>
    </xf>
    <xf numFmtId="0" fontId="2" fillId="15" borderId="0" xfId="0" applyFont="1" applyFill="1"/>
    <xf numFmtId="3" fontId="10" fillId="15" borderId="0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3" fillId="21" borderId="0" xfId="0" applyFont="1" applyFill="1" applyBorder="1" applyAlignment="1">
      <alignment horizontal="center" wrapText="1"/>
    </xf>
    <xf numFmtId="0" fontId="35" fillId="14" borderId="0" xfId="0" applyFont="1" applyFill="1" applyAlignment="1">
      <alignment horizontal="center"/>
    </xf>
    <xf numFmtId="0" fontId="35" fillId="15" borderId="0" xfId="0" applyFont="1" applyFill="1" applyAlignment="1">
      <alignment horizontal="center"/>
    </xf>
    <xf numFmtId="9" fontId="35" fillId="15" borderId="0" xfId="2" applyFont="1" applyFill="1"/>
    <xf numFmtId="9" fontId="3" fillId="15" borderId="0" xfId="2" applyFont="1" applyFill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43" fontId="9" fillId="0" borderId="0" xfId="1" applyFont="1" applyFill="1" applyBorder="1"/>
    <xf numFmtId="164" fontId="9" fillId="0" borderId="0" xfId="1" applyNumberFormat="1" applyFont="1" applyFill="1" applyBorder="1" applyAlignment="1"/>
    <xf numFmtId="9" fontId="9" fillId="0" borderId="0" xfId="2" applyFont="1" applyFill="1" applyBorder="1"/>
    <xf numFmtId="164" fontId="9" fillId="0" borderId="0" xfId="1" applyNumberFormat="1" applyFont="1" applyFill="1" applyBorder="1"/>
    <xf numFmtId="4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 vertical="center" indent="1"/>
    </xf>
    <xf numFmtId="164" fontId="11" fillId="10" borderId="0" xfId="1" applyNumberFormat="1" applyFont="1" applyFill="1" applyBorder="1"/>
    <xf numFmtId="43" fontId="11" fillId="10" borderId="0" xfId="1" applyNumberFormat="1" applyFont="1" applyFill="1" applyBorder="1"/>
    <xf numFmtId="43" fontId="11" fillId="10" borderId="0" xfId="1" applyFont="1" applyFill="1" applyBorder="1"/>
    <xf numFmtId="3" fontId="9" fillId="10" borderId="0" xfId="0" applyNumberFormat="1" applyFont="1" applyFill="1" applyBorder="1"/>
    <xf numFmtId="9" fontId="11" fillId="10" borderId="0" xfId="0" applyNumberFormat="1" applyFont="1" applyFill="1" applyBorder="1"/>
    <xf numFmtId="43" fontId="11" fillId="10" borderId="0" xfId="0" applyNumberFormat="1" applyFont="1" applyFill="1" applyBorder="1"/>
    <xf numFmtId="3" fontId="11" fillId="10" borderId="0" xfId="0" applyNumberFormat="1" applyFont="1" applyFill="1" applyBorder="1"/>
    <xf numFmtId="9" fontId="9" fillId="10" borderId="0" xfId="2" applyFont="1" applyFill="1" applyBorder="1"/>
    <xf numFmtId="0" fontId="12" fillId="19" borderId="0" xfId="0" applyFont="1" applyFill="1" applyBorder="1"/>
    <xf numFmtId="164" fontId="12" fillId="19" borderId="0" xfId="1" applyNumberFormat="1" applyFont="1" applyFill="1" applyBorder="1"/>
    <xf numFmtId="9" fontId="32" fillId="0" borderId="0" xfId="2" applyFont="1" applyBorder="1"/>
    <xf numFmtId="0" fontId="32" fillId="0" borderId="0" xfId="0" applyFont="1" applyBorder="1"/>
    <xf numFmtId="164" fontId="32" fillId="0" borderId="0" xfId="1" applyNumberFormat="1" applyFont="1" applyBorder="1"/>
    <xf numFmtId="0" fontId="27" fillId="0" borderId="0" xfId="0" applyFont="1" applyFill="1" applyAlignment="1">
      <alignment horizontal="center"/>
    </xf>
    <xf numFmtId="0" fontId="26" fillId="8" borderId="0" xfId="0" applyFont="1" applyFill="1"/>
    <xf numFmtId="164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3" fontId="12" fillId="15" borderId="0" xfId="0" applyNumberFormat="1" applyFont="1" applyFill="1" applyBorder="1" applyAlignment="1">
      <alignment horizontal="center"/>
    </xf>
    <xf numFmtId="0" fontId="4" fillId="22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15" borderId="0" xfId="0" applyFont="1" applyFill="1" applyBorder="1" applyAlignment="1">
      <alignment horizontal="left" vertical="center" wrapText="1"/>
    </xf>
    <xf numFmtId="165" fontId="23" fillId="0" borderId="0" xfId="2" applyNumberFormat="1" applyFont="1" applyFill="1" applyBorder="1"/>
    <xf numFmtId="0" fontId="23" fillId="0" borderId="0" xfId="0" applyFont="1" applyFill="1" applyBorder="1"/>
    <xf numFmtId="0" fontId="43" fillId="0" borderId="0" xfId="0" applyFont="1" applyFill="1" applyBorder="1" applyAlignment="1">
      <alignment horizontal="center" vertical="center"/>
    </xf>
    <xf numFmtId="9" fontId="23" fillId="0" borderId="0" xfId="2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1" fillId="17" borderId="2" xfId="3" applyNumberFormat="1" applyFont="1" applyFill="1" applyBorder="1" applyAlignment="1">
      <alignment horizontal="center" vertical="center"/>
    </xf>
    <xf numFmtId="0" fontId="31" fillId="17" borderId="0" xfId="3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8" fillId="6" borderId="0" xfId="1" applyNumberFormat="1" applyFont="1" applyFill="1" applyBorder="1" applyAlignment="1">
      <alignment horizontal="center" vertical="center"/>
    </xf>
    <xf numFmtId="164" fontId="8" fillId="13" borderId="1" xfId="1" applyNumberFormat="1" applyFont="1" applyFill="1" applyBorder="1" applyAlignment="1">
      <alignment horizontal="center"/>
    </xf>
    <xf numFmtId="164" fontId="8" fillId="13" borderId="0" xfId="1" applyNumberFormat="1" applyFont="1" applyFill="1" applyBorder="1" applyAlignment="1">
      <alignment horizontal="center"/>
    </xf>
    <xf numFmtId="164" fontId="33" fillId="4" borderId="0" xfId="1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64" fontId="30" fillId="6" borderId="2" xfId="1" applyNumberFormat="1" applyFont="1" applyFill="1" applyBorder="1" applyAlignment="1">
      <alignment horizontal="center" vertical="center"/>
    </xf>
    <xf numFmtId="164" fontId="30" fillId="6" borderId="0" xfId="1" applyNumberFormat="1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d1c36c238257dad/OREC/OBS%20Climat-Energie/Bases%20de%20donn&#233;es/Energie/Donn&#233;es%20trait&#233;es/2016/Consommation%20d'&#233;nergie%20primai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d1c36c238257dad/OREC/OBS%20Climat-Energie/Bases%20de%20donn&#233;es/Energie/Donn&#233;es%20trait&#233;es/2016/Consommation%20&#233;nergie%20ORE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d1c36c238257dad/OREC/OBS%20Climat-Energie/Bases%20de%20donn&#233;es/Energie/Donn&#233;es%20trait&#233;es/2016/Chauffe%20eau%20solai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JETS/Observatoires/OBS%20Climat-Energie/collecte%202014/Donn&#233;es%20SARA%20pour%20OREC-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P"/>
      <sheetName val="GWH"/>
    </sheetNames>
    <sheetDataSet>
      <sheetData sheetId="0">
        <row r="30">
          <cell r="B30">
            <v>822.87716525738688</v>
          </cell>
          <cell r="C30">
            <v>731.38907873360995</v>
          </cell>
          <cell r="D30">
            <v>802.43375324938688</v>
          </cell>
          <cell r="E30">
            <v>776.31058857281118</v>
          </cell>
          <cell r="F30">
            <v>808.81537891560993</v>
          </cell>
          <cell r="G30">
            <v>822.37109455520124</v>
          </cell>
          <cell r="H30">
            <v>778.96398456965937</v>
          </cell>
          <cell r="I30">
            <v>819.5753876896016</v>
          </cell>
        </row>
        <row r="70">
          <cell r="B70">
            <v>808.81537891560993</v>
          </cell>
        </row>
      </sheetData>
      <sheetData sheetId="1">
        <row r="26">
          <cell r="B26">
            <v>34.701749999999997</v>
          </cell>
          <cell r="C26">
            <v>35.521200000000007</v>
          </cell>
          <cell r="D26">
            <v>36.881999999999998</v>
          </cell>
          <cell r="E26">
            <v>38.653200000000005</v>
          </cell>
          <cell r="F26">
            <v>42.061950000000003</v>
          </cell>
          <cell r="G26">
            <v>46.300950000000007</v>
          </cell>
          <cell r="H26">
            <v>49.608450000000005</v>
          </cell>
          <cell r="I26">
            <v>52.921350000000004</v>
          </cell>
          <cell r="J26">
            <v>55.013850000000005</v>
          </cell>
        </row>
        <row r="27">
          <cell r="B27"/>
          <cell r="C27"/>
          <cell r="D27"/>
          <cell r="E27"/>
          <cell r="F27"/>
          <cell r="G27"/>
          <cell r="H27"/>
          <cell r="I27">
            <v>89.966999999999999</v>
          </cell>
          <cell r="J27">
            <v>84.903999999999996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>
            <v>12.191539391999999</v>
          </cell>
        </row>
        <row r="31">
          <cell r="B31">
            <v>8764.8424884208944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(GWh) "/>
      <sheetName val="Données (T et tep)"/>
      <sheetName val="Convertion tonne et litre"/>
    </sheetNames>
    <sheetDataSet>
      <sheetData sheetId="0">
        <row r="12">
          <cell r="J12">
            <v>220.084</v>
          </cell>
          <cell r="K12">
            <v>190.89500000000001</v>
          </cell>
          <cell r="L12">
            <v>149.28099999999998</v>
          </cell>
          <cell r="M12">
            <v>203.90500000000003</v>
          </cell>
          <cell r="N12">
            <v>269.91499999999996</v>
          </cell>
          <cell r="O12">
            <v>301.85784999999998</v>
          </cell>
          <cell r="P12">
            <v>319.43399999999997</v>
          </cell>
          <cell r="Q12">
            <v>313.62</v>
          </cell>
          <cell r="R12">
            <v>315.09999999999997</v>
          </cell>
        </row>
        <row r="16">
          <cell r="J16">
            <v>1613</v>
          </cell>
          <cell r="K16">
            <v>1628</v>
          </cell>
          <cell r="L16">
            <v>1730</v>
          </cell>
          <cell r="M16">
            <v>1692</v>
          </cell>
          <cell r="N16">
            <v>1726</v>
          </cell>
          <cell r="O16">
            <v>1728.9</v>
          </cell>
          <cell r="P16">
            <v>1733.404</v>
          </cell>
          <cell r="Q16">
            <v>1759</v>
          </cell>
          <cell r="R16">
            <v>1791.403</v>
          </cell>
        </row>
      </sheetData>
      <sheetData sheetId="1">
        <row r="21">
          <cell r="I21">
            <v>83152</v>
          </cell>
          <cell r="J21">
            <v>89563.199999999997</v>
          </cell>
        </row>
        <row r="22">
          <cell r="I22">
            <v>180588</v>
          </cell>
          <cell r="J22">
            <v>182785.22399999999</v>
          </cell>
        </row>
        <row r="24">
          <cell r="F24">
            <v>95774</v>
          </cell>
        </row>
        <row r="30">
          <cell r="B30">
            <v>2984.326625386997</v>
          </cell>
          <cell r="C30">
            <v>3054.7987616099076</v>
          </cell>
          <cell r="D30">
            <v>3171.826625386997</v>
          </cell>
          <cell r="E30">
            <v>3324.1486068111458</v>
          </cell>
          <cell r="F30">
            <v>3617.2987616099076</v>
          </cell>
          <cell r="G30">
            <v>3981.8498452012386</v>
          </cell>
          <cell r="H30">
            <v>4266.292569659443</v>
          </cell>
          <cell r="I30">
            <v>4551.1996904024772</v>
          </cell>
          <cell r="J30">
            <v>4731.1532507739939</v>
          </cell>
        </row>
        <row r="31">
          <cell r="B31"/>
          <cell r="C31"/>
          <cell r="D31"/>
          <cell r="E31"/>
          <cell r="F31"/>
          <cell r="G31"/>
          <cell r="H31"/>
          <cell r="I31">
            <v>7737.1001031991746</v>
          </cell>
          <cell r="J31">
            <v>7301.6855865153075</v>
          </cell>
        </row>
        <row r="32">
          <cell r="B32"/>
          <cell r="C32"/>
          <cell r="D32"/>
          <cell r="E32"/>
          <cell r="F32"/>
          <cell r="G32"/>
          <cell r="H32"/>
          <cell r="I32"/>
          <cell r="J32">
            <v>1048.4639999999999</v>
          </cell>
        </row>
        <row r="51">
          <cell r="B51">
            <v>5800.3029159999996</v>
          </cell>
          <cell r="C51">
            <v>4903.9659240000001</v>
          </cell>
          <cell r="D51">
            <v>4516.2903660000002</v>
          </cell>
          <cell r="E51">
            <v>6823.5064099999991</v>
          </cell>
          <cell r="F51">
            <v>3357.9698739999999</v>
          </cell>
          <cell r="G51">
            <v>4139.4486200000001</v>
          </cell>
          <cell r="H51">
            <v>3428.9866000000002</v>
          </cell>
          <cell r="I51">
            <v>2986.5238959999997</v>
          </cell>
          <cell r="J51">
            <v>3256.2774819999995</v>
          </cell>
        </row>
        <row r="52">
          <cell r="B52">
            <v>376509.526916</v>
          </cell>
          <cell r="C52">
            <v>358475.55104800005</v>
          </cell>
          <cell r="D52">
            <v>371149.55430800008</v>
          </cell>
          <cell r="E52">
            <v>373715.73775600002</v>
          </cell>
          <cell r="F52">
            <v>370788.04087999999</v>
          </cell>
          <cell r="G52">
            <v>367704.59288200003</v>
          </cell>
          <cell r="H52">
            <v>368496.76679999998</v>
          </cell>
          <cell r="I52">
            <v>382569.62600000005</v>
          </cell>
          <cell r="J52">
            <v>397509.02559999999</v>
          </cell>
        </row>
        <row r="53">
          <cell r="G53">
            <v>148685.4</v>
          </cell>
          <cell r="H53">
            <v>149072.74399999998</v>
          </cell>
          <cell r="I53">
            <v>151246.99599999998</v>
          </cell>
          <cell r="J53">
            <v>154060.658</v>
          </cell>
        </row>
        <row r="54">
          <cell r="B54">
            <v>15111</v>
          </cell>
          <cell r="C54">
            <v>14454</v>
          </cell>
          <cell r="D54">
            <v>13761.70815</v>
          </cell>
          <cell r="E54">
            <v>13767.434999999999</v>
          </cell>
          <cell r="F54">
            <v>13822.184999999999</v>
          </cell>
          <cell r="G54">
            <v>13746.63</v>
          </cell>
          <cell r="H54">
            <v>13303.154999999999</v>
          </cell>
          <cell r="I54">
            <v>13569.24</v>
          </cell>
          <cell r="J54">
            <v>13277.97</v>
          </cell>
        </row>
        <row r="71">
          <cell r="C71">
            <v>0.61899999999999999</v>
          </cell>
        </row>
        <row r="72">
          <cell r="C72">
            <v>1</v>
          </cell>
        </row>
        <row r="73">
          <cell r="C73">
            <v>1.095</v>
          </cell>
        </row>
        <row r="74">
          <cell r="C74">
            <v>1.0780000000000001</v>
          </cell>
        </row>
        <row r="75">
          <cell r="C75">
            <v>0.95199999999999996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S"/>
    </sheetNames>
    <sheetDataSet>
      <sheetData sheetId="0">
        <row r="1">
          <cell r="J1">
            <v>1.35</v>
          </cell>
          <cell r="K1">
            <v>8.5999999999999993E-2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SARA"/>
      <sheetName val="IMPORTATION"/>
      <sheetName val="Feuil3"/>
    </sheetNames>
    <sheetDataSet>
      <sheetData sheetId="0" refreshError="1">
        <row r="14">
          <cell r="S14">
            <v>79973.95</v>
          </cell>
        </row>
        <row r="24">
          <cell r="R24">
            <v>4329.91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5"/>
  <sheetViews>
    <sheetView topLeftCell="A19" zoomScale="80" zoomScaleNormal="80" zoomScaleSheetLayoutView="70" workbookViewId="0">
      <selection activeCell="A41" sqref="A41"/>
    </sheetView>
  </sheetViews>
  <sheetFormatPr baseColWidth="10" defaultColWidth="11.4609375" defaultRowHeight="14.6" x14ac:dyDescent="0.4"/>
  <cols>
    <col min="1" max="1" width="60.4609375" style="13" customWidth="1"/>
    <col min="2" max="6" width="16.4609375" style="13" customWidth="1"/>
    <col min="7" max="7" width="14.53515625" style="13" customWidth="1"/>
    <col min="8" max="8" width="16.3828125" style="13" customWidth="1"/>
    <col min="9" max="10" width="14.4609375" style="13" customWidth="1"/>
    <col min="11" max="16384" width="11.4609375" style="13"/>
  </cols>
  <sheetData>
    <row r="1" spans="1:41" ht="20.6" x14ac:dyDescent="0.4">
      <c r="A1" s="221" t="s">
        <v>70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41" ht="26.15" x14ac:dyDescent="0.4">
      <c r="A2" s="60" t="s">
        <v>46</v>
      </c>
      <c r="B2" s="59" t="s">
        <v>129</v>
      </c>
    </row>
    <row r="3" spans="1:41" x14ac:dyDescent="0.4">
      <c r="A3" s="22" t="s">
        <v>67</v>
      </c>
      <c r="B3" s="24">
        <v>2008</v>
      </c>
      <c r="C3" s="24">
        <v>2009</v>
      </c>
      <c r="D3" s="24">
        <v>2010</v>
      </c>
      <c r="E3" s="24">
        <v>2011</v>
      </c>
      <c r="F3" s="24">
        <v>2012</v>
      </c>
      <c r="G3" s="24">
        <v>2013</v>
      </c>
      <c r="H3" s="24">
        <v>2014</v>
      </c>
      <c r="I3" s="24">
        <v>2015</v>
      </c>
      <c r="J3" s="24">
        <v>2016</v>
      </c>
    </row>
    <row r="4" spans="1:41" s="36" customFormat="1" x14ac:dyDescent="0.4">
      <c r="A4" s="33" t="s">
        <v>66</v>
      </c>
      <c r="B4" s="34"/>
      <c r="C4" s="34"/>
      <c r="D4" s="34"/>
      <c r="E4" s="34"/>
      <c r="F4" s="34"/>
      <c r="G4" s="35"/>
      <c r="H4" s="3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23" customFormat="1" x14ac:dyDescent="0.4">
      <c r="A5" s="61" t="s">
        <v>65</v>
      </c>
      <c r="B5" s="41">
        <f>(SUM('[2]Données (T et tep)'!B51:B52))/1000</f>
        <v>382.30982983199999</v>
      </c>
      <c r="C5" s="41">
        <f>(SUM('[2]Données (T et tep)'!C51:C52))/1000</f>
        <v>363.37951697200009</v>
      </c>
      <c r="D5" s="41">
        <f>(SUM('[2]Données (T et tep)'!D51:D52))/1000</f>
        <v>375.66584467400003</v>
      </c>
      <c r="E5" s="41">
        <f>(SUM('[2]Données (T et tep)'!E51:E52))/1000</f>
        <v>380.539244166</v>
      </c>
      <c r="F5" s="41">
        <f>(SUM('[2]Données (T et tep)'!F51:F52))/1000</f>
        <v>374.14601075399997</v>
      </c>
      <c r="G5" s="41">
        <f>(SUM('[2]Données (T et tep)'!G51:G52))/1000</f>
        <v>371.84404150199998</v>
      </c>
      <c r="H5" s="41">
        <f>(SUM('[2]Données (T et tep)'!H51:H52))/1000</f>
        <v>371.92575339999996</v>
      </c>
      <c r="I5" s="41">
        <f>(SUM('[2]Données (T et tep)'!I51:I52))/1000</f>
        <v>385.55614989600002</v>
      </c>
      <c r="J5" s="41">
        <f>(SUM('[2]Données (T et tep)'!J51:J52))/1000</f>
        <v>400.765303082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x14ac:dyDescent="0.4">
      <c r="A6" s="61" t="s">
        <v>134</v>
      </c>
      <c r="B6" s="41">
        <f>'[2]Données (T et tep)'!B54/1000</f>
        <v>15.111000000000001</v>
      </c>
      <c r="C6" s="41">
        <f>'[2]Données (T et tep)'!C54/1000</f>
        <v>14.454000000000001</v>
      </c>
      <c r="D6" s="41">
        <f>'[2]Données (T et tep)'!D54/1000</f>
        <v>13.76170815</v>
      </c>
      <c r="E6" s="41">
        <f>'[2]Données (T et tep)'!E54/1000</f>
        <v>13.767434999999999</v>
      </c>
      <c r="F6" s="41">
        <f>'[2]Données (T et tep)'!F54/1000</f>
        <v>13.822184999999999</v>
      </c>
      <c r="G6" s="41">
        <f>'[2]Données (T et tep)'!G54/1000</f>
        <v>13.74663</v>
      </c>
      <c r="H6" s="41">
        <f>'[2]Données (T et tep)'!H54/1000</f>
        <v>13.303154999999999</v>
      </c>
      <c r="I6" s="41">
        <f>'[2]Données (T et tep)'!I54/1000</f>
        <v>13.569240000000001</v>
      </c>
      <c r="J6" s="41">
        <f>'[2]Données (T et tep)'!J54/1000</f>
        <v>13.27797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x14ac:dyDescent="0.4">
      <c r="A7" s="61" t="s">
        <v>64</v>
      </c>
      <c r="B7" s="41">
        <v>138.71799999999999</v>
      </c>
      <c r="C7" s="41">
        <v>140.00800000000001</v>
      </c>
      <c r="D7" s="41">
        <v>148.78</v>
      </c>
      <c r="E7" s="41">
        <v>145.512</v>
      </c>
      <c r="F7" s="41">
        <v>148.43600000000001</v>
      </c>
      <c r="G7" s="41">
        <f>'[2]Données (T et tep)'!G53/1000</f>
        <v>148.68539999999999</v>
      </c>
      <c r="H7" s="41">
        <f>'[2]Données (T et tep)'!H53/1000</f>
        <v>149.07274399999997</v>
      </c>
      <c r="I7" s="41">
        <f>'[2]Données (T et tep)'!I53/1000</f>
        <v>151.246996</v>
      </c>
      <c r="J7" s="41">
        <f>'[2]Données (T et tep)'!J53/1000</f>
        <v>154.06065799999999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x14ac:dyDescent="0.4">
      <c r="A8" s="61" t="s">
        <v>63</v>
      </c>
      <c r="B8" s="42">
        <f>(SUM('[2]Données (T et tep)'!B30:B32))/1000</f>
        <v>2.9843266253869971</v>
      </c>
      <c r="C8" s="42">
        <f>(SUM('[2]Données (T et tep)'!C30:C32))/1000</f>
        <v>3.0547987616099075</v>
      </c>
      <c r="D8" s="42">
        <f>(SUM('[2]Données (T et tep)'!D30:D32))/1000</f>
        <v>3.1718266253869971</v>
      </c>
      <c r="E8" s="42">
        <f>(SUM('[2]Données (T et tep)'!E30:E32))/1000</f>
        <v>3.3241486068111459</v>
      </c>
      <c r="F8" s="42">
        <f>(SUM('[2]Données (T et tep)'!F30:F32))/1000</f>
        <v>3.6172987616099075</v>
      </c>
      <c r="G8" s="42">
        <f>(SUM('[2]Données (T et tep)'!G30:G32))/1000</f>
        <v>3.9818498452012387</v>
      </c>
      <c r="H8" s="42">
        <f>(SUM('[2]Données (T et tep)'!H30:H32))/1000</f>
        <v>4.2662925696594431</v>
      </c>
      <c r="I8" s="42">
        <f>(SUM('[2]Données (T et tep)'!I30:I32))/1000</f>
        <v>12.28829979360165</v>
      </c>
      <c r="J8" s="42">
        <f>(SUM('[2]Données (T et tep)'!J30:J32))/1000</f>
        <v>13.081302837289302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x14ac:dyDescent="0.4">
      <c r="A9" s="37" t="s">
        <v>62</v>
      </c>
      <c r="B9" s="38">
        <f t="shared" ref="B9:J9" si="0">SUM(B5:B8)</f>
        <v>539.12315645738693</v>
      </c>
      <c r="C9" s="38">
        <f t="shared" si="0"/>
        <v>520.89631573361009</v>
      </c>
      <c r="D9" s="38">
        <f t="shared" si="0"/>
        <v>541.37937944938699</v>
      </c>
      <c r="E9" s="38">
        <f t="shared" si="0"/>
        <v>543.14282777281119</v>
      </c>
      <c r="F9" s="38">
        <f t="shared" si="0"/>
        <v>540.0214945156099</v>
      </c>
      <c r="G9" s="38">
        <f t="shared" si="0"/>
        <v>538.2579213472012</v>
      </c>
      <c r="H9" s="38">
        <f t="shared" si="0"/>
        <v>538.56794496965938</v>
      </c>
      <c r="I9" s="38">
        <f t="shared" si="0"/>
        <v>562.66068568960156</v>
      </c>
      <c r="J9" s="38">
        <f t="shared" si="0"/>
        <v>581.1852339192892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53" customFormat="1" x14ac:dyDescent="0.4">
      <c r="A10" s="32" t="s">
        <v>69</v>
      </c>
      <c r="B10" s="49">
        <f>B9/B25*1000</f>
        <v>1.3418233589624946</v>
      </c>
      <c r="C10" s="49">
        <f t="shared" ref="C10:J10" si="1">(C9/C25)*1000</f>
        <v>1.2972011628164832</v>
      </c>
      <c r="D10" s="49">
        <f t="shared" si="1"/>
        <v>1.3421908230947601</v>
      </c>
      <c r="E10" s="49">
        <f t="shared" si="1"/>
        <v>1.3423031318912382</v>
      </c>
      <c r="F10" s="49">
        <f t="shared" si="1"/>
        <v>1.3389604489693139</v>
      </c>
      <c r="G10" s="49">
        <f t="shared" si="1"/>
        <v>1.3334933452593274</v>
      </c>
      <c r="H10" s="49">
        <f t="shared" si="1"/>
        <v>1.3339144147855342</v>
      </c>
      <c r="I10" s="49">
        <f t="shared" si="1"/>
        <v>1.3992392443271806</v>
      </c>
      <c r="J10" s="49">
        <f t="shared" si="1"/>
        <v>1.4453065732265553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55" customFormat="1" x14ac:dyDescent="0.4">
      <c r="A11" s="54" t="s">
        <v>130</v>
      </c>
      <c r="B11" s="56"/>
      <c r="C11" s="57">
        <f>(C9-B9)/B9</f>
        <v>-3.3808306145754488E-2</v>
      </c>
      <c r="D11" s="57">
        <f t="shared" ref="D11:J11" si="2">(D9-C9)/C9</f>
        <v>3.9322727185983918E-2</v>
      </c>
      <c r="E11" s="57">
        <f t="shared" si="2"/>
        <v>3.2573245128355737E-3</v>
      </c>
      <c r="F11" s="57">
        <f t="shared" si="2"/>
        <v>-5.7468001004459448E-3</v>
      </c>
      <c r="G11" s="57">
        <f t="shared" si="2"/>
        <v>-3.2657462458796993E-3</v>
      </c>
      <c r="H11" s="57">
        <f t="shared" si="2"/>
        <v>5.7597595903878095E-4</v>
      </c>
      <c r="I11" s="57">
        <f t="shared" si="2"/>
        <v>4.4734821195679342E-2</v>
      </c>
      <c r="J11" s="58">
        <f t="shared" si="2"/>
        <v>3.2923125252626813E-2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46" customFormat="1" x14ac:dyDescent="0.4">
      <c r="A12" s="47"/>
      <c r="B12" s="43"/>
      <c r="C12" s="44"/>
      <c r="D12" s="44"/>
      <c r="E12" s="44"/>
      <c r="F12" s="44"/>
      <c r="G12" s="44"/>
      <c r="H12" s="44"/>
      <c r="I12" s="44"/>
      <c r="J12" s="4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x14ac:dyDescent="0.4">
      <c r="A13" s="20" t="s">
        <v>61</v>
      </c>
      <c r="B13" s="19"/>
      <c r="C13" s="19"/>
      <c r="D13" s="19"/>
      <c r="E13" s="19"/>
      <c r="F13" s="1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x14ac:dyDescent="0.4">
      <c r="A14" s="18" t="s">
        <v>59</v>
      </c>
      <c r="B14" s="67">
        <f t="shared" ref="B14:J14" si="3">(B7/B25)*1000</f>
        <v>0.34525516197757999</v>
      </c>
      <c r="C14" s="67">
        <f t="shared" si="3"/>
        <v>0.34866543478585693</v>
      </c>
      <c r="D14" s="67">
        <f t="shared" si="3"/>
        <v>0.36885621846760297</v>
      </c>
      <c r="E14" s="67">
        <f t="shared" si="3"/>
        <v>0.35961298454162394</v>
      </c>
      <c r="F14" s="67">
        <f t="shared" si="3"/>
        <v>0.36804078212013469</v>
      </c>
      <c r="G14" s="67">
        <f t="shared" si="3"/>
        <v>0.36835684822058984</v>
      </c>
      <c r="H14" s="67">
        <f t="shared" si="3"/>
        <v>0.36922041857585131</v>
      </c>
      <c r="I14" s="67">
        <f t="shared" si="3"/>
        <v>0.37612496798211476</v>
      </c>
      <c r="J14" s="67">
        <f t="shared" si="3"/>
        <v>0.38312205590882298</v>
      </c>
    </row>
    <row r="15" spans="1:41" x14ac:dyDescent="0.4">
      <c r="A15" s="18" t="s">
        <v>58</v>
      </c>
      <c r="B15" s="68">
        <f>([1]TEP!B30*1000)/B23</f>
        <v>98.253989881479029</v>
      </c>
      <c r="C15" s="68">
        <f>([1]TEP!C30*1000)/C23</f>
        <v>89.631014550687496</v>
      </c>
      <c r="D15" s="68">
        <f>([1]TEP!D30*1000)/D23</f>
        <v>104.44923481519704</v>
      </c>
      <c r="E15" s="68">
        <f>([1]TEP!E30*1000)/E23</f>
        <v>98.146678744600777</v>
      </c>
      <c r="F15" s="68">
        <f>([1]TEP!F30*1000)/F23</f>
        <v>101.4570219412456</v>
      </c>
      <c r="G15" s="68">
        <f>([1]TEP!G30*1000)/G23</f>
        <v>101.48970684378641</v>
      </c>
      <c r="H15" s="68">
        <f>([1]TEP!H30*1000)/H23</f>
        <v>95.695821200203852</v>
      </c>
      <c r="I15" s="68">
        <f>([1]TEP!I30*1000)/I23</f>
        <v>98.294001881698449</v>
      </c>
      <c r="J15" s="68"/>
    </row>
    <row r="16" spans="1:41" x14ac:dyDescent="0.4">
      <c r="A16" s="69" t="s">
        <v>57</v>
      </c>
      <c r="B16" s="70">
        <f t="shared" ref="B16:I16" si="4">(B9*1000)/B23</f>
        <v>64.372914203867097</v>
      </c>
      <c r="C16" s="70">
        <f t="shared" si="4"/>
        <v>63.83533281049143</v>
      </c>
      <c r="D16" s="70">
        <f t="shared" si="4"/>
        <v>70.468947373205339</v>
      </c>
      <c r="E16" s="70">
        <f t="shared" si="4"/>
        <v>68.667960239798177</v>
      </c>
      <c r="F16" s="70">
        <f t="shared" si="4"/>
        <v>67.73977603055819</v>
      </c>
      <c r="G16" s="70">
        <f t="shared" si="4"/>
        <v>66.426992638183535</v>
      </c>
      <c r="H16" s="70">
        <f t="shared" si="4"/>
        <v>66.163138202660846</v>
      </c>
      <c r="I16" s="70">
        <f t="shared" si="4"/>
        <v>67.481492646869938</v>
      </c>
      <c r="J16" s="70"/>
    </row>
    <row r="17" spans="1:10" s="46" customFormat="1" x14ac:dyDescent="0.4">
      <c r="A17" s="54" t="s">
        <v>131</v>
      </c>
      <c r="B17" s="52"/>
      <c r="C17" s="51">
        <f t="shared" ref="C17:I17" si="5">(C16-B16)/B16</f>
        <v>-8.3510495062125538E-3</v>
      </c>
      <c r="D17" s="51">
        <f t="shared" si="5"/>
        <v>0.10391759971561806</v>
      </c>
      <c r="E17" s="51">
        <f t="shared" si="5"/>
        <v>-2.5557173770016574E-2</v>
      </c>
      <c r="F17" s="71">
        <f t="shared" si="5"/>
        <v>-1.3516991126555052E-2</v>
      </c>
      <c r="G17" s="71">
        <f t="shared" si="5"/>
        <v>-1.9379801193650882E-2</v>
      </c>
      <c r="H17" s="71">
        <f t="shared" si="5"/>
        <v>-3.9720966589569754E-3</v>
      </c>
      <c r="I17" s="71">
        <f t="shared" si="5"/>
        <v>1.9925814887602662E-2</v>
      </c>
      <c r="J17" s="71"/>
    </row>
    <row r="22" spans="1:10" x14ac:dyDescent="0.4">
      <c r="A22" s="74"/>
      <c r="B22" s="84">
        <v>2008</v>
      </c>
      <c r="C22" s="84">
        <v>2009</v>
      </c>
      <c r="D22" s="84">
        <v>2010</v>
      </c>
      <c r="E22" s="84">
        <v>2011</v>
      </c>
      <c r="F22" s="84">
        <v>2012</v>
      </c>
      <c r="G22" s="84">
        <v>2013</v>
      </c>
      <c r="H22" s="84">
        <v>2014</v>
      </c>
      <c r="I22" s="84">
        <v>2015</v>
      </c>
      <c r="J22" s="84">
        <v>2016</v>
      </c>
    </row>
    <row r="23" spans="1:10" x14ac:dyDescent="0.4">
      <c r="A23" s="81" t="s">
        <v>133</v>
      </c>
      <c r="B23" s="75">
        <v>8375</v>
      </c>
      <c r="C23" s="82">
        <v>8160</v>
      </c>
      <c r="D23" s="83">
        <v>7682.5240000000003</v>
      </c>
      <c r="E23" s="83">
        <v>7909.6979999999994</v>
      </c>
      <c r="F23" s="83">
        <v>7972</v>
      </c>
      <c r="G23" s="40">
        <v>8103</v>
      </c>
      <c r="H23" s="40">
        <v>8140</v>
      </c>
      <c r="I23" s="40">
        <v>8338</v>
      </c>
      <c r="J23" s="40"/>
    </row>
    <row r="24" spans="1:10" x14ac:dyDescent="0.4">
      <c r="A24" s="81" t="s">
        <v>48</v>
      </c>
      <c r="B24" s="76">
        <f t="shared" ref="B24:G24" si="6">B23/1000</f>
        <v>8.375</v>
      </c>
      <c r="C24" s="76">
        <f t="shared" si="6"/>
        <v>8.16</v>
      </c>
      <c r="D24" s="76">
        <f t="shared" si="6"/>
        <v>7.6825239999999999</v>
      </c>
      <c r="E24" s="76">
        <f t="shared" si="6"/>
        <v>7.9096979999999997</v>
      </c>
      <c r="F24" s="72">
        <f t="shared" si="6"/>
        <v>7.9720000000000004</v>
      </c>
      <c r="G24" s="72">
        <f t="shared" si="6"/>
        <v>8.1029999999999998</v>
      </c>
      <c r="H24" s="74">
        <v>8.14</v>
      </c>
      <c r="I24" s="74">
        <f>I23/1000</f>
        <v>8.3379999999999992</v>
      </c>
      <c r="J24" s="74"/>
    </row>
    <row r="25" spans="1:10" x14ac:dyDescent="0.4">
      <c r="A25" s="81" t="s">
        <v>47</v>
      </c>
      <c r="B25" s="77">
        <v>401784</v>
      </c>
      <c r="C25" s="77">
        <v>401554</v>
      </c>
      <c r="D25" s="78">
        <v>403355</v>
      </c>
      <c r="E25" s="78">
        <v>404635</v>
      </c>
      <c r="F25" s="79">
        <v>403314</v>
      </c>
      <c r="G25" s="40">
        <v>403645</v>
      </c>
      <c r="H25" s="40">
        <v>403750</v>
      </c>
      <c r="I25" s="80">
        <v>402119</v>
      </c>
      <c r="J25" s="80">
        <v>402119</v>
      </c>
    </row>
    <row r="26" spans="1:10" x14ac:dyDescent="0.4">
      <c r="A26" s="81" t="s">
        <v>132</v>
      </c>
      <c r="B26" s="39">
        <f>'[2]Données (GWh) '!J12</f>
        <v>220.084</v>
      </c>
      <c r="C26" s="39">
        <f>'[2]Données (GWh) '!K12</f>
        <v>190.89500000000001</v>
      </c>
      <c r="D26" s="39">
        <f>'[2]Données (GWh) '!L12</f>
        <v>149.28099999999998</v>
      </c>
      <c r="E26" s="39">
        <f>'[2]Données (GWh) '!M12</f>
        <v>203.90500000000003</v>
      </c>
      <c r="F26" s="39">
        <f>'[2]Données (GWh) '!N12</f>
        <v>269.91499999999996</v>
      </c>
      <c r="G26" s="39">
        <f>'[2]Données (GWh) '!O12</f>
        <v>301.85784999999998</v>
      </c>
      <c r="H26" s="39">
        <f>'[2]Données (GWh) '!P12</f>
        <v>319.43399999999997</v>
      </c>
      <c r="I26" s="39">
        <f>'[2]Données (GWh) '!Q12</f>
        <v>313.62</v>
      </c>
      <c r="J26" s="39">
        <f>'[2]Données (GWh) '!R12</f>
        <v>315.09999999999997</v>
      </c>
    </row>
    <row r="27" spans="1:10" x14ac:dyDescent="0.4">
      <c r="A27" s="81" t="s">
        <v>46</v>
      </c>
      <c r="B27" s="39">
        <f t="shared" ref="B27:J27" si="7">B9</f>
        <v>539.12315645738693</v>
      </c>
      <c r="C27" s="39">
        <f t="shared" si="7"/>
        <v>520.89631573361009</v>
      </c>
      <c r="D27" s="39">
        <f t="shared" si="7"/>
        <v>541.37937944938699</v>
      </c>
      <c r="E27" s="39">
        <f t="shared" si="7"/>
        <v>543.14282777281119</v>
      </c>
      <c r="F27" s="39">
        <f t="shared" si="7"/>
        <v>540.0214945156099</v>
      </c>
      <c r="G27" s="39">
        <f t="shared" si="7"/>
        <v>538.2579213472012</v>
      </c>
      <c r="H27" s="39">
        <f t="shared" si="7"/>
        <v>538.56794496965938</v>
      </c>
      <c r="I27" s="39">
        <f t="shared" si="7"/>
        <v>562.66068568960156</v>
      </c>
      <c r="J27" s="39">
        <f t="shared" si="7"/>
        <v>581.1852339192892</v>
      </c>
    </row>
    <row r="30" spans="1:10" x14ac:dyDescent="0.4">
      <c r="A30" s="13" t="s">
        <v>150</v>
      </c>
    </row>
    <row r="35" spans="1:6" x14ac:dyDescent="0.4">
      <c r="B35" s="17"/>
      <c r="C35" s="17"/>
      <c r="D35" s="17"/>
      <c r="E35" s="17"/>
      <c r="F35" s="17"/>
    </row>
    <row r="37" spans="1:6" x14ac:dyDescent="0.4">
      <c r="A37"/>
      <c r="B37"/>
      <c r="C37"/>
      <c r="D37"/>
      <c r="E37"/>
    </row>
    <row r="38" spans="1:6" x14ac:dyDescent="0.4">
      <c r="A38"/>
      <c r="B38"/>
      <c r="C38"/>
      <c r="D38"/>
      <c r="E38"/>
    </row>
    <row r="39" spans="1:6" x14ac:dyDescent="0.4">
      <c r="A39"/>
      <c r="B39"/>
      <c r="C39"/>
      <c r="D39"/>
      <c r="E39"/>
    </row>
    <row r="40" spans="1:6" x14ac:dyDescent="0.4">
      <c r="A40"/>
      <c r="B40"/>
      <c r="C40"/>
      <c r="D40"/>
      <c r="E40"/>
    </row>
    <row r="41" spans="1:6" x14ac:dyDescent="0.4">
      <c r="A41"/>
      <c r="B41"/>
      <c r="C41"/>
      <c r="D41"/>
      <c r="E41"/>
    </row>
    <row r="42" spans="1:6" x14ac:dyDescent="0.4">
      <c r="A42"/>
      <c r="B42"/>
      <c r="C42"/>
      <c r="D42"/>
      <c r="E42"/>
    </row>
    <row r="43" spans="1:6" x14ac:dyDescent="0.4">
      <c r="A43"/>
      <c r="B43"/>
      <c r="C43"/>
      <c r="D43"/>
      <c r="E43"/>
    </row>
    <row r="44" spans="1:6" x14ac:dyDescent="0.4">
      <c r="A44"/>
      <c r="B44"/>
      <c r="C44"/>
      <c r="D44"/>
      <c r="E44"/>
    </row>
    <row r="45" spans="1:6" x14ac:dyDescent="0.4">
      <c r="A45"/>
      <c r="B45"/>
      <c r="C45"/>
      <c r="D45"/>
      <c r="E45"/>
    </row>
  </sheetData>
  <mergeCells count="1">
    <mergeCell ref="A1:J1"/>
  </mergeCells>
  <pageMargins left="0.7" right="0.7" top="0.75" bottom="0.75" header="0.3" footer="0.3"/>
  <pageSetup paperSize="9" scale="39" orientation="portrait" r:id="rId1"/>
  <colBreaks count="1" manualBreakCount="1">
    <brk id="13" max="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zoomScale="80" zoomScaleNormal="80" zoomScaleSheetLayoutView="70" workbookViewId="0">
      <selection activeCell="A19" sqref="A19:D19"/>
    </sheetView>
  </sheetViews>
  <sheetFormatPr baseColWidth="10" defaultColWidth="11.4609375" defaultRowHeight="14.6" x14ac:dyDescent="0.4"/>
  <cols>
    <col min="1" max="1" width="60.4609375" style="13" customWidth="1"/>
    <col min="2" max="6" width="16.4609375" style="13" customWidth="1"/>
    <col min="7" max="7" width="14.53515625" style="13" customWidth="1"/>
    <col min="8" max="8" width="16.3828125" style="13" customWidth="1"/>
    <col min="9" max="10" width="14.4609375" style="13" customWidth="1"/>
    <col min="11" max="16384" width="11.4609375" style="13"/>
  </cols>
  <sheetData>
    <row r="1" spans="1:11" ht="20.6" x14ac:dyDescent="0.4">
      <c r="A1" s="221" t="s">
        <v>70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1" ht="23.15" x14ac:dyDescent="0.4">
      <c r="A2" s="28" t="s">
        <v>68</v>
      </c>
      <c r="B2" s="59" t="s">
        <v>129</v>
      </c>
    </row>
    <row r="3" spans="1:11" x14ac:dyDescent="0.4">
      <c r="A3" s="22" t="s">
        <v>67</v>
      </c>
      <c r="B3" s="24">
        <v>2008</v>
      </c>
      <c r="C3" s="24">
        <v>2009</v>
      </c>
      <c r="D3" s="24">
        <v>2010</v>
      </c>
      <c r="E3" s="24">
        <v>2011</v>
      </c>
      <c r="F3" s="24">
        <v>2012</v>
      </c>
      <c r="G3" s="24">
        <v>2013</v>
      </c>
      <c r="H3" s="24">
        <v>2014</v>
      </c>
      <c r="I3" s="24">
        <v>2015</v>
      </c>
      <c r="J3" s="24">
        <v>2016</v>
      </c>
    </row>
    <row r="4" spans="1:11" s="21" customFormat="1" x14ac:dyDescent="0.4">
      <c r="A4" s="29" t="s">
        <v>66</v>
      </c>
      <c r="B4" s="30"/>
      <c r="C4" s="30"/>
      <c r="D4" s="30"/>
      <c r="E4" s="30"/>
      <c r="F4" s="30"/>
      <c r="G4" s="31"/>
      <c r="H4" s="31"/>
    </row>
    <row r="5" spans="1:11" x14ac:dyDescent="0.4">
      <c r="A5" s="61" t="s">
        <v>65</v>
      </c>
      <c r="B5" s="87">
        <f>TEP!B5*11.628</f>
        <v>4445.4987012864958</v>
      </c>
      <c r="C5" s="87">
        <f>TEP!C5*11.628</f>
        <v>4225.3770233504174</v>
      </c>
      <c r="D5" s="87">
        <f>TEP!D5*11.628</f>
        <v>4368.2424418692726</v>
      </c>
      <c r="E5" s="87">
        <f>TEP!E5*11.628</f>
        <v>4424.9103311622484</v>
      </c>
      <c r="F5" s="87">
        <f>TEP!F5*11.628</f>
        <v>4350.5698130475121</v>
      </c>
      <c r="G5" s="87">
        <f>TEP!G5*11.628</f>
        <v>4323.8025145852562</v>
      </c>
      <c r="H5" s="87">
        <f>TEP!H5*11.628</f>
        <v>4324.7526605351995</v>
      </c>
      <c r="I5" s="87">
        <f>TEP!I5*11.628</f>
        <v>4483.2469109906879</v>
      </c>
      <c r="J5" s="87">
        <f>TEP!J5*11.628</f>
        <v>4660.0989442374957</v>
      </c>
    </row>
    <row r="6" spans="1:11" x14ac:dyDescent="0.4">
      <c r="A6" s="61" t="s">
        <v>134</v>
      </c>
      <c r="B6" s="87">
        <f>TEP!B6*11.628</f>
        <v>175.71070800000001</v>
      </c>
      <c r="C6" s="87">
        <f>TEP!C6*11.628</f>
        <v>168.071112</v>
      </c>
      <c r="D6" s="87">
        <f>TEP!D6*11.628</f>
        <v>160.0211423682</v>
      </c>
      <c r="E6" s="87">
        <f>TEP!E6*11.628</f>
        <v>160.08773417999998</v>
      </c>
      <c r="F6" s="87">
        <f>TEP!F6*11.628</f>
        <v>160.72436718</v>
      </c>
      <c r="G6" s="87">
        <f>TEP!G6*11.628</f>
        <v>159.84581363999999</v>
      </c>
      <c r="H6" s="87">
        <f>TEP!H6*11.628</f>
        <v>154.68908633999999</v>
      </c>
      <c r="I6" s="87">
        <f>TEP!I6*11.628</f>
        <v>157.78312272000002</v>
      </c>
      <c r="J6" s="87">
        <f>TEP!J6*11.628</f>
        <v>154.39623516</v>
      </c>
    </row>
    <row r="7" spans="1:11" x14ac:dyDescent="0.4">
      <c r="A7" s="61" t="s">
        <v>64</v>
      </c>
      <c r="B7" s="87">
        <f>'[2]Données (GWh) '!J16</f>
        <v>1613</v>
      </c>
      <c r="C7" s="87">
        <f>'[2]Données (GWh) '!K16</f>
        <v>1628</v>
      </c>
      <c r="D7" s="87">
        <f>'[2]Données (GWh) '!L16</f>
        <v>1730</v>
      </c>
      <c r="E7" s="87">
        <f>'[2]Données (GWh) '!M16</f>
        <v>1692</v>
      </c>
      <c r="F7" s="87">
        <f>'[2]Données (GWh) '!N16</f>
        <v>1726</v>
      </c>
      <c r="G7" s="87">
        <f>'[2]Données (GWh) '!O16</f>
        <v>1728.9</v>
      </c>
      <c r="H7" s="87">
        <f>'[2]Données (GWh) '!P16</f>
        <v>1733.404</v>
      </c>
      <c r="I7" s="87">
        <f>'[2]Données (GWh) '!Q16</f>
        <v>1759</v>
      </c>
      <c r="J7" s="87">
        <f>'[2]Données (GWh) '!R16</f>
        <v>1791.403</v>
      </c>
    </row>
    <row r="8" spans="1:11" x14ac:dyDescent="0.4">
      <c r="A8" s="61" t="s">
        <v>63</v>
      </c>
      <c r="B8" s="87">
        <f>SUM([1]GWH!B26:B28)</f>
        <v>34.701749999999997</v>
      </c>
      <c r="C8" s="87">
        <f>SUM([1]GWH!C26:C28)</f>
        <v>35.521200000000007</v>
      </c>
      <c r="D8" s="87">
        <f>SUM([1]GWH!D26:D28)</f>
        <v>36.881999999999998</v>
      </c>
      <c r="E8" s="87">
        <f>SUM([1]GWH!E26:E28)</f>
        <v>38.653200000000005</v>
      </c>
      <c r="F8" s="87">
        <f>SUM([1]GWH!F26:F28)</f>
        <v>42.061950000000003</v>
      </c>
      <c r="G8" s="87">
        <f>SUM([1]GWH!G26:G28)</f>
        <v>46.300950000000007</v>
      </c>
      <c r="H8" s="87">
        <f>SUM([1]GWH!H26:H28)</f>
        <v>49.608450000000005</v>
      </c>
      <c r="I8" s="87">
        <f>SUM([1]GWH!I26:I28)</f>
        <v>142.88835</v>
      </c>
      <c r="J8" s="87">
        <f>SUM([1]GWH!J26:J28)</f>
        <v>152.109389392</v>
      </c>
      <c r="K8" s="85"/>
    </row>
    <row r="9" spans="1:11" ht="14.25" customHeight="1" x14ac:dyDescent="0.4">
      <c r="A9" s="86" t="s">
        <v>62</v>
      </c>
      <c r="B9" s="88">
        <f t="shared" ref="B9:J9" si="0">SUM(B5:B8)</f>
        <v>6268.9111592864956</v>
      </c>
      <c r="C9" s="88">
        <f t="shared" si="0"/>
        <v>6056.9693353504172</v>
      </c>
      <c r="D9" s="88">
        <f t="shared" si="0"/>
        <v>6295.1455842374726</v>
      </c>
      <c r="E9" s="88">
        <f t="shared" si="0"/>
        <v>6315.6512653422478</v>
      </c>
      <c r="F9" s="88">
        <f t="shared" si="0"/>
        <v>6279.356130227512</v>
      </c>
      <c r="G9" s="88">
        <f t="shared" si="0"/>
        <v>6258.849278225257</v>
      </c>
      <c r="H9" s="88">
        <f t="shared" si="0"/>
        <v>6262.4541968752001</v>
      </c>
      <c r="I9" s="88">
        <f t="shared" si="0"/>
        <v>6542.9183837106884</v>
      </c>
      <c r="J9" s="88">
        <f t="shared" si="0"/>
        <v>6758.007568789496</v>
      </c>
    </row>
    <row r="10" spans="1:11" ht="14.25" customHeight="1" x14ac:dyDescent="0.4">
      <c r="A10" s="32" t="s">
        <v>125</v>
      </c>
      <c r="B10" s="49">
        <f t="shared" ref="B10:J10" si="1">(B9/B31)*1000</f>
        <v>15.602689901256635</v>
      </c>
      <c r="C10" s="49">
        <f t="shared" si="1"/>
        <v>15.083822687236131</v>
      </c>
      <c r="D10" s="49">
        <f t="shared" si="1"/>
        <v>15.606960578739503</v>
      </c>
      <c r="E10" s="49">
        <f t="shared" si="1"/>
        <v>15.608267365260662</v>
      </c>
      <c r="F10" s="49">
        <f t="shared" si="1"/>
        <v>15.569397864263358</v>
      </c>
      <c r="G10" s="49">
        <f t="shared" si="1"/>
        <v>15.50582635292214</v>
      </c>
      <c r="H10" s="49">
        <f t="shared" si="1"/>
        <v>15.510722469040743</v>
      </c>
      <c r="I10" s="49">
        <f t="shared" si="1"/>
        <v>16.271099808043608</v>
      </c>
      <c r="J10" s="49">
        <f t="shared" si="1"/>
        <v>16.805989194217371</v>
      </c>
    </row>
    <row r="11" spans="1:11" x14ac:dyDescent="0.4">
      <c r="A11" s="54" t="s">
        <v>130</v>
      </c>
      <c r="B11" s="89"/>
      <c r="C11" s="90">
        <f>(C9-B9)/B9</f>
        <v>-3.3808394879247403E-2</v>
      </c>
      <c r="D11" s="90">
        <f t="shared" ref="D11:J11" si="2">(D9-C9)/C9</f>
        <v>3.9322677018848742E-2</v>
      </c>
      <c r="E11" s="90">
        <f t="shared" si="2"/>
        <v>3.2573799653052966E-3</v>
      </c>
      <c r="F11" s="90">
        <f t="shared" si="2"/>
        <v>-5.7468554848664425E-3</v>
      </c>
      <c r="G11" s="90">
        <f t="shared" si="2"/>
        <v>-3.2657571217436388E-3</v>
      </c>
      <c r="H11" s="90">
        <f t="shared" si="2"/>
        <v>5.7597147489790691E-4</v>
      </c>
      <c r="I11" s="90">
        <f t="shared" si="2"/>
        <v>4.4785028044665401E-2</v>
      </c>
      <c r="J11" s="91">
        <f t="shared" si="2"/>
        <v>3.2873585220670888E-2</v>
      </c>
    </row>
    <row r="12" spans="1:11" x14ac:dyDescent="0.4">
      <c r="A12" s="20" t="s">
        <v>61</v>
      </c>
      <c r="B12" s="19"/>
      <c r="C12" s="19"/>
      <c r="D12" s="19"/>
      <c r="E12" s="19"/>
      <c r="F12" s="19"/>
    </row>
    <row r="13" spans="1:11" x14ac:dyDescent="0.4">
      <c r="A13" s="61" t="s">
        <v>60</v>
      </c>
      <c r="B13" s="62">
        <f t="shared" ref="B13:J13" si="3">(B7/B31)*1000</f>
        <v>4.0145949067160469</v>
      </c>
      <c r="C13" s="62">
        <f t="shared" si="3"/>
        <v>4.0542492416960103</v>
      </c>
      <c r="D13" s="62">
        <f t="shared" si="3"/>
        <v>4.2890257961349185</v>
      </c>
      <c r="E13" s="62">
        <f t="shared" si="3"/>
        <v>4.181546331879348</v>
      </c>
      <c r="F13" s="62">
        <f t="shared" si="3"/>
        <v>4.2795439781411018</v>
      </c>
      <c r="G13" s="62">
        <f t="shared" si="3"/>
        <v>4.283219165355697</v>
      </c>
      <c r="H13" s="62">
        <f t="shared" si="3"/>
        <v>4.2932606811145515</v>
      </c>
      <c r="I13" s="62">
        <f t="shared" si="3"/>
        <v>4.37432700270318</v>
      </c>
      <c r="J13" s="62">
        <f t="shared" si="3"/>
        <v>4.4549076268467793</v>
      </c>
    </row>
    <row r="14" spans="1:11" x14ac:dyDescent="0.4">
      <c r="A14" s="61" t="s">
        <v>126</v>
      </c>
      <c r="B14" s="105">
        <f>([1]GWH!$B$31)/B29</f>
        <v>1.0465483568263754</v>
      </c>
      <c r="C14" s="105">
        <f>([1]GWH!$B$31)/C29</f>
        <v>1.0741228539731489</v>
      </c>
      <c r="D14" s="105">
        <f>([1]GWH!$B$31)/D29</f>
        <v>1.1408805866953222</v>
      </c>
      <c r="E14" s="105">
        <f>([1]GWH!$B$31)/E29</f>
        <v>1.1081134182899139</v>
      </c>
      <c r="F14" s="105">
        <f>([1]GWH!$B$31)/F29</f>
        <v>1.0994533979454209</v>
      </c>
      <c r="G14" s="105">
        <f>([1]GWH!$B$31)/G29</f>
        <v>1.0816786978182025</v>
      </c>
      <c r="H14" s="105">
        <f>([1]GWH!$B$31)/H29</f>
        <v>1.0767619764644834</v>
      </c>
      <c r="I14" s="105">
        <f>([1]GWH!$B$31)/I29</f>
        <v>1.0511924308492318</v>
      </c>
      <c r="J14" s="63"/>
    </row>
    <row r="15" spans="1:11" x14ac:dyDescent="0.4">
      <c r="A15" s="64" t="s">
        <v>127</v>
      </c>
      <c r="B15" s="65">
        <f t="shared" ref="B15:I15" si="4">(B9)/B29</f>
        <v>0.74852670558644718</v>
      </c>
      <c r="C15" s="65">
        <f t="shared" si="4"/>
        <v>0.74227565384196292</v>
      </c>
      <c r="D15" s="65">
        <f t="shared" si="4"/>
        <v>0.819411118564351</v>
      </c>
      <c r="E15" s="65">
        <f t="shared" si="4"/>
        <v>0.79846933035145573</v>
      </c>
      <c r="F15" s="65">
        <f t="shared" si="4"/>
        <v>0.78767638362111292</v>
      </c>
      <c r="G15" s="65">
        <f t="shared" si="4"/>
        <v>0.77241136347343664</v>
      </c>
      <c r="H15" s="65">
        <f t="shared" si="4"/>
        <v>0.76934326742938575</v>
      </c>
      <c r="I15" s="65">
        <f t="shared" si="4"/>
        <v>0.78471076801519413</v>
      </c>
      <c r="J15" s="106"/>
    </row>
    <row r="16" spans="1:11" x14ac:dyDescent="0.4">
      <c r="A16" s="18" t="s">
        <v>128</v>
      </c>
      <c r="B16" s="48"/>
      <c r="C16" s="66">
        <f>(C15-B15)/B15</f>
        <v>-8.3511405776588252E-3</v>
      </c>
      <c r="D16" s="66">
        <f t="shared" ref="D16:I16" si="5">(D15-C15)/C15</f>
        <v>0.10391754643054871</v>
      </c>
      <c r="E16" s="66">
        <f t="shared" si="5"/>
        <v>-2.5557119910193955E-2</v>
      </c>
      <c r="F16" s="66">
        <f t="shared" si="5"/>
        <v>-1.3517046078140745E-2</v>
      </c>
      <c r="G16" s="66">
        <f t="shared" si="5"/>
        <v>-1.9379811893686327E-2</v>
      </c>
      <c r="H16" s="66">
        <f t="shared" si="5"/>
        <v>-3.972101122715301E-3</v>
      </c>
      <c r="I16" s="66">
        <f t="shared" si="5"/>
        <v>1.9974829489515077E-2</v>
      </c>
      <c r="J16" s="66"/>
    </row>
    <row r="17" spans="1:10" x14ac:dyDescent="0.4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9" spans="1:10" x14ac:dyDescent="0.4">
      <c r="A19" s="13" t="s">
        <v>150</v>
      </c>
    </row>
    <row r="28" spans="1:10" x14ac:dyDescent="0.4">
      <c r="A28" s="94"/>
      <c r="B28" s="92">
        <v>2008</v>
      </c>
      <c r="C28" s="92">
        <v>2009</v>
      </c>
      <c r="D28" s="92">
        <v>2010</v>
      </c>
      <c r="E28" s="92">
        <v>2011</v>
      </c>
      <c r="F28" s="92">
        <v>2012</v>
      </c>
      <c r="G28" s="92">
        <v>2013</v>
      </c>
      <c r="H28" s="92">
        <v>2014</v>
      </c>
      <c r="I28" s="92">
        <v>2015</v>
      </c>
      <c r="J28" s="92">
        <v>2016</v>
      </c>
    </row>
    <row r="29" spans="1:10" x14ac:dyDescent="0.4">
      <c r="A29" s="94" t="s">
        <v>49</v>
      </c>
      <c r="B29" s="95">
        <v>8375</v>
      </c>
      <c r="C29" s="95">
        <v>8160</v>
      </c>
      <c r="D29" s="96">
        <v>7682.5240000000003</v>
      </c>
      <c r="E29" s="96">
        <v>7909.6979999999994</v>
      </c>
      <c r="F29" s="97">
        <v>7972</v>
      </c>
      <c r="G29" s="94">
        <v>8103</v>
      </c>
      <c r="H29" s="94">
        <v>8140</v>
      </c>
      <c r="I29" s="94">
        <v>8338</v>
      </c>
      <c r="J29" s="94"/>
    </row>
    <row r="30" spans="1:10" x14ac:dyDescent="0.4">
      <c r="A30" s="94" t="s">
        <v>48</v>
      </c>
      <c r="B30" s="98">
        <f t="shared" ref="B30:G30" si="6">B29/1000</f>
        <v>8.375</v>
      </c>
      <c r="C30" s="98">
        <f t="shared" si="6"/>
        <v>8.16</v>
      </c>
      <c r="D30" s="98">
        <f t="shared" si="6"/>
        <v>7.6825239999999999</v>
      </c>
      <c r="E30" s="98">
        <f t="shared" si="6"/>
        <v>7.9096979999999997</v>
      </c>
      <c r="F30" s="99">
        <f t="shared" si="6"/>
        <v>7.9720000000000004</v>
      </c>
      <c r="G30" s="99">
        <f t="shared" si="6"/>
        <v>8.1029999999999998</v>
      </c>
      <c r="H30" s="94">
        <v>8.14</v>
      </c>
      <c r="I30" s="94">
        <f>I29/1000</f>
        <v>8.3379999999999992</v>
      </c>
      <c r="J30" s="94"/>
    </row>
    <row r="31" spans="1:10" x14ac:dyDescent="0.4">
      <c r="A31" s="94" t="s">
        <v>47</v>
      </c>
      <c r="B31" s="100">
        <v>401784</v>
      </c>
      <c r="C31" s="100">
        <v>401554</v>
      </c>
      <c r="D31" s="100">
        <v>403355</v>
      </c>
      <c r="E31" s="100">
        <v>404635</v>
      </c>
      <c r="F31" s="100">
        <v>403314</v>
      </c>
      <c r="G31" s="101">
        <v>403645</v>
      </c>
      <c r="H31" s="101">
        <v>403750</v>
      </c>
      <c r="I31" s="102">
        <v>402119</v>
      </c>
      <c r="J31" s="102">
        <v>402119</v>
      </c>
    </row>
    <row r="32" spans="1:10" x14ac:dyDescent="0.4">
      <c r="A32" s="94" t="s">
        <v>56</v>
      </c>
      <c r="B32" s="103">
        <f>'[2]Données (GWh) '!J12</f>
        <v>220.084</v>
      </c>
      <c r="C32" s="103">
        <f>'[2]Données (GWh) '!K12</f>
        <v>190.89500000000001</v>
      </c>
      <c r="D32" s="103">
        <f>'[2]Données (GWh) '!L12</f>
        <v>149.28099999999998</v>
      </c>
      <c r="E32" s="103">
        <f>'[2]Données (GWh) '!M12</f>
        <v>203.90500000000003</v>
      </c>
      <c r="F32" s="103">
        <f>'[2]Données (GWh) '!N12</f>
        <v>269.91499999999996</v>
      </c>
      <c r="G32" s="103">
        <f>'[2]Données (GWh) '!O12</f>
        <v>301.85784999999998</v>
      </c>
      <c r="H32" s="103">
        <f>'[2]Données (GWh) '!P12</f>
        <v>319.43399999999997</v>
      </c>
      <c r="I32" s="103">
        <f>'[2]Données (GWh) '!Q12</f>
        <v>313.62</v>
      </c>
      <c r="J32" s="103">
        <f>'[2]Données (GWh) '!R12</f>
        <v>315.09999999999997</v>
      </c>
    </row>
    <row r="33" spans="1:10" x14ac:dyDescent="0.4">
      <c r="A33" s="94"/>
      <c r="B33" s="104"/>
      <c r="C33" s="104"/>
      <c r="D33" s="104"/>
      <c r="E33" s="104"/>
      <c r="F33" s="104"/>
      <c r="G33" s="94"/>
      <c r="H33" s="94"/>
      <c r="I33" s="94"/>
      <c r="J33" s="94"/>
    </row>
    <row r="35" spans="1:10" x14ac:dyDescent="0.4">
      <c r="A35"/>
      <c r="B35"/>
      <c r="C35"/>
      <c r="D35"/>
      <c r="E35"/>
    </row>
    <row r="36" spans="1:10" x14ac:dyDescent="0.4">
      <c r="A36"/>
      <c r="B36"/>
      <c r="C36"/>
      <c r="D36"/>
      <c r="E36"/>
    </row>
    <row r="37" spans="1:10" x14ac:dyDescent="0.4">
      <c r="A37"/>
      <c r="B37"/>
      <c r="C37"/>
      <c r="D37"/>
      <c r="E37"/>
    </row>
    <row r="38" spans="1:10" x14ac:dyDescent="0.4">
      <c r="A38"/>
      <c r="B38"/>
      <c r="C38"/>
      <c r="D38"/>
      <c r="E38"/>
    </row>
    <row r="39" spans="1:10" x14ac:dyDescent="0.4">
      <c r="A39"/>
      <c r="B39"/>
      <c r="C39"/>
      <c r="D39"/>
      <c r="E39"/>
    </row>
    <row r="40" spans="1:10" x14ac:dyDescent="0.4">
      <c r="A40"/>
      <c r="B40"/>
      <c r="C40"/>
      <c r="D40"/>
      <c r="E40"/>
    </row>
    <row r="41" spans="1:10" x14ac:dyDescent="0.4">
      <c r="A41"/>
      <c r="B41"/>
      <c r="C41"/>
      <c r="D41"/>
      <c r="E41"/>
    </row>
    <row r="42" spans="1:10" x14ac:dyDescent="0.4">
      <c r="A42"/>
      <c r="B42"/>
      <c r="C42"/>
      <c r="D42"/>
      <c r="E42"/>
    </row>
    <row r="43" spans="1:10" x14ac:dyDescent="0.4">
      <c r="A43"/>
      <c r="B43"/>
      <c r="C43"/>
      <c r="D43"/>
      <c r="E43"/>
    </row>
  </sheetData>
  <mergeCells count="1">
    <mergeCell ref="A1:J1"/>
  </mergeCells>
  <pageMargins left="0.7" right="0.7" top="0.75" bottom="0.75" header="0.3" footer="0.3"/>
  <pageSetup paperSize="9" scale="39" orientation="portrait" r:id="rId1"/>
  <colBreaks count="1" manualBreakCount="1">
    <brk id="13" max="8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topLeftCell="A22" zoomScale="80" zoomScaleNormal="80" workbookViewId="0">
      <selection activeCell="A33" sqref="A33:D33"/>
    </sheetView>
  </sheetViews>
  <sheetFormatPr baseColWidth="10" defaultColWidth="11.4609375" defaultRowHeight="12.9" x14ac:dyDescent="0.35"/>
  <cols>
    <col min="1" max="1" width="20.61328125" style="1" customWidth="1"/>
    <col min="2" max="13" width="12.4609375" style="1" customWidth="1"/>
    <col min="14" max="14" width="14.3828125" style="1" customWidth="1"/>
    <col min="15" max="15" width="18.3828125" style="1" customWidth="1"/>
    <col min="16" max="16384" width="11.4609375" style="1"/>
  </cols>
  <sheetData>
    <row r="1" spans="1:15" ht="39" customHeight="1" x14ac:dyDescent="0.35">
      <c r="A1" s="221" t="s">
        <v>70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5" x14ac:dyDescent="0.35">
      <c r="A2" s="223" t="s">
        <v>29</v>
      </c>
      <c r="B2" s="224"/>
      <c r="C2" s="107" t="s">
        <v>135</v>
      </c>
    </row>
    <row r="3" spans="1:15" x14ac:dyDescent="0.35">
      <c r="A3" s="6" t="s">
        <v>28</v>
      </c>
      <c r="B3" s="5" t="s">
        <v>27</v>
      </c>
      <c r="C3" s="5" t="s">
        <v>26</v>
      </c>
      <c r="D3" s="5" t="s">
        <v>15</v>
      </c>
      <c r="E3" s="5" t="s">
        <v>14</v>
      </c>
      <c r="F3" s="5" t="s">
        <v>13</v>
      </c>
      <c r="G3" s="5" t="s">
        <v>12</v>
      </c>
      <c r="H3" s="5" t="s">
        <v>11</v>
      </c>
      <c r="I3" s="5" t="s">
        <v>10</v>
      </c>
      <c r="J3" s="5" t="s">
        <v>25</v>
      </c>
      <c r="K3" s="5" t="s">
        <v>24</v>
      </c>
      <c r="L3" s="5" t="s">
        <v>23</v>
      </c>
      <c r="M3" s="5" t="s">
        <v>22</v>
      </c>
      <c r="N3" s="3" t="s">
        <v>5</v>
      </c>
      <c r="O3" s="2" t="s">
        <v>4</v>
      </c>
    </row>
    <row r="4" spans="1:15" x14ac:dyDescent="0.35">
      <c r="A4" s="116">
        <v>2012</v>
      </c>
      <c r="B4" s="108">
        <v>132483</v>
      </c>
      <c r="C4" s="108">
        <v>127088</v>
      </c>
      <c r="D4" s="108">
        <v>140234</v>
      </c>
      <c r="E4" s="108">
        <v>139691</v>
      </c>
      <c r="F4" s="108">
        <v>145026</v>
      </c>
      <c r="G4" s="108">
        <v>155300</v>
      </c>
      <c r="H4" s="108">
        <v>150726</v>
      </c>
      <c r="I4" s="108">
        <v>148549</v>
      </c>
      <c r="J4" s="109">
        <v>151108</v>
      </c>
      <c r="K4" s="108">
        <v>152098</v>
      </c>
      <c r="L4" s="108">
        <v>144092</v>
      </c>
      <c r="M4" s="108">
        <v>139670</v>
      </c>
      <c r="N4" s="110">
        <f>SUM(B4:M4)</f>
        <v>1726065</v>
      </c>
      <c r="O4" s="110">
        <f>AVERAGE(B4:M4)</f>
        <v>143838.75</v>
      </c>
    </row>
    <row r="5" spans="1:15" x14ac:dyDescent="0.35">
      <c r="A5" s="116">
        <v>2014</v>
      </c>
      <c r="B5" s="110">
        <v>137845.224661057</v>
      </c>
      <c r="C5" s="110">
        <v>123596.054471133</v>
      </c>
      <c r="D5" s="110">
        <v>140161.15769465099</v>
      </c>
      <c r="E5" s="110">
        <v>144364.56988881301</v>
      </c>
      <c r="F5" s="110">
        <v>146016.12580462699</v>
      </c>
      <c r="G5" s="110">
        <v>155911.88091150901</v>
      </c>
      <c r="H5" s="110">
        <v>150369.48794940501</v>
      </c>
      <c r="I5" s="110">
        <v>149189.03114383799</v>
      </c>
      <c r="J5" s="110">
        <v>148342.707681631</v>
      </c>
      <c r="K5" s="110">
        <v>155706.798924456</v>
      </c>
      <c r="L5" s="110">
        <v>144503.40367227199</v>
      </c>
      <c r="M5" s="110">
        <v>137373.473584972</v>
      </c>
      <c r="N5" s="110">
        <f>SUM(B5:M5)</f>
        <v>1733379.9163883638</v>
      </c>
      <c r="O5" s="110">
        <f>AVERAGE(B5:M5)</f>
        <v>144448.32636569699</v>
      </c>
    </row>
    <row r="6" spans="1:15" x14ac:dyDescent="0.35">
      <c r="A6" s="116">
        <v>2015</v>
      </c>
      <c r="B6" s="111">
        <v>135618</v>
      </c>
      <c r="C6" s="112">
        <v>124232</v>
      </c>
      <c r="D6" s="112">
        <v>144069</v>
      </c>
      <c r="E6" s="112">
        <v>141488</v>
      </c>
      <c r="F6" s="112">
        <v>149719</v>
      </c>
      <c r="G6" s="112">
        <v>157250</v>
      </c>
      <c r="H6" s="112">
        <v>153430</v>
      </c>
      <c r="I6" s="112">
        <v>152230</v>
      </c>
      <c r="J6" s="112">
        <v>154026</v>
      </c>
      <c r="K6" s="112">
        <v>159386</v>
      </c>
      <c r="L6" s="112">
        <v>144894</v>
      </c>
      <c r="M6" s="112">
        <v>142216</v>
      </c>
      <c r="N6" s="111">
        <f>SUM(B6:M6)</f>
        <v>1758558</v>
      </c>
      <c r="O6" s="111">
        <f>AVERAGE(B6:M6)</f>
        <v>146546.5</v>
      </c>
    </row>
    <row r="7" spans="1:15" x14ac:dyDescent="0.35">
      <c r="A7" s="116">
        <v>2016</v>
      </c>
      <c r="B7" s="111">
        <v>137420</v>
      </c>
      <c r="C7" s="112">
        <v>133781</v>
      </c>
      <c r="D7" s="112">
        <v>142371</v>
      </c>
      <c r="E7" s="112">
        <v>152614</v>
      </c>
      <c r="F7" s="112">
        <v>153498</v>
      </c>
      <c r="G7" s="112">
        <v>156914</v>
      </c>
      <c r="H7" s="112">
        <v>157759</v>
      </c>
      <c r="I7" s="112">
        <v>157049</v>
      </c>
      <c r="J7" s="112">
        <v>152254</v>
      </c>
      <c r="K7" s="112">
        <v>155327</v>
      </c>
      <c r="L7" s="112">
        <v>149157</v>
      </c>
      <c r="M7" s="112">
        <v>143260</v>
      </c>
      <c r="N7" s="111">
        <v>1791404</v>
      </c>
      <c r="O7" s="111">
        <v>149283.66666666666</v>
      </c>
    </row>
    <row r="8" spans="1:15" x14ac:dyDescent="0.35">
      <c r="A8" s="113" t="s">
        <v>130</v>
      </c>
      <c r="B8" s="114">
        <f>(B7-B6)/B6</f>
        <v>1.3287321741951658E-2</v>
      </c>
      <c r="C8" s="114">
        <f>(C7-C6)/C6</f>
        <v>7.6864253976431193E-2</v>
      </c>
      <c r="D8" s="114">
        <f>(D7-D6)/D6</f>
        <v>-1.1786019199133748E-2</v>
      </c>
      <c r="E8" s="114">
        <f>(E7-E6)/E6</f>
        <v>7.8635644012213055E-2</v>
      </c>
      <c r="F8" s="114">
        <f>(F7-F6)/F6</f>
        <v>2.5240617423306327E-2</v>
      </c>
      <c r="G8" s="115">
        <v>-0.03</v>
      </c>
      <c r="H8" s="114">
        <f t="shared" ref="H8:M8" si="0">(H7-H6)/H6</f>
        <v>2.8214821091051293E-2</v>
      </c>
      <c r="I8" s="114">
        <f t="shared" si="0"/>
        <v>3.1656046771332852E-2</v>
      </c>
      <c r="J8" s="114">
        <f t="shared" si="0"/>
        <v>-1.1504551179670964E-2</v>
      </c>
      <c r="K8" s="114">
        <f t="shared" si="0"/>
        <v>-2.5466477607820011E-2</v>
      </c>
      <c r="L8" s="114">
        <f t="shared" si="0"/>
        <v>2.9421508136982896E-2</v>
      </c>
      <c r="M8" s="114">
        <f t="shared" si="0"/>
        <v>7.34094616639478E-3</v>
      </c>
    </row>
    <row r="11" spans="1:15" s="118" customFormat="1" x14ac:dyDescent="0.35">
      <c r="A11" s="225" t="s">
        <v>21</v>
      </c>
      <c r="B11" s="226"/>
      <c r="C11" s="107" t="s">
        <v>135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15" x14ac:dyDescent="0.35">
      <c r="A12" s="119" t="s">
        <v>20</v>
      </c>
      <c r="B12" s="121" t="s">
        <v>17</v>
      </c>
      <c r="C12" s="121" t="s">
        <v>16</v>
      </c>
      <c r="D12" s="121" t="s">
        <v>15</v>
      </c>
      <c r="E12" s="121" t="s">
        <v>14</v>
      </c>
      <c r="F12" s="121" t="s">
        <v>13</v>
      </c>
      <c r="G12" s="121" t="s">
        <v>12</v>
      </c>
      <c r="H12" s="121" t="s">
        <v>11</v>
      </c>
      <c r="I12" s="121" t="s">
        <v>10</v>
      </c>
      <c r="J12" s="121" t="s">
        <v>9</v>
      </c>
      <c r="K12" s="121" t="s">
        <v>8</v>
      </c>
      <c r="L12" s="121" t="s">
        <v>7</v>
      </c>
      <c r="M12" s="121" t="s">
        <v>6</v>
      </c>
      <c r="N12" s="3" t="s">
        <v>5</v>
      </c>
      <c r="O12" s="2" t="s">
        <v>4</v>
      </c>
    </row>
    <row r="13" spans="1:15" x14ac:dyDescent="0.35">
      <c r="A13" s="111">
        <v>2014</v>
      </c>
      <c r="B13" s="110">
        <v>235</v>
      </c>
      <c r="C13" s="110">
        <v>234</v>
      </c>
      <c r="D13" s="110">
        <v>246</v>
      </c>
      <c r="E13" s="110">
        <v>248</v>
      </c>
      <c r="F13" s="110">
        <v>251</v>
      </c>
      <c r="G13" s="110">
        <v>255</v>
      </c>
      <c r="H13" s="110">
        <v>250</v>
      </c>
      <c r="I13" s="110">
        <v>245</v>
      </c>
      <c r="J13" s="110">
        <v>255</v>
      </c>
      <c r="K13" s="110">
        <v>254</v>
      </c>
      <c r="L13" s="110">
        <v>251</v>
      </c>
      <c r="M13" s="110">
        <v>239</v>
      </c>
      <c r="N13" s="110">
        <f>SUM(B13:M13)</f>
        <v>2963</v>
      </c>
      <c r="O13" s="110">
        <f>AVERAGE(C13:M13)</f>
        <v>248</v>
      </c>
    </row>
    <row r="14" spans="1:15" x14ac:dyDescent="0.35">
      <c r="A14" s="111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</row>
    <row r="16" spans="1:15" ht="15.9" x14ac:dyDescent="0.45">
      <c r="A16" s="227" t="s">
        <v>19</v>
      </c>
      <c r="B16" s="227"/>
      <c r="C16" s="122" t="s">
        <v>136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1:15" ht="15" thickBot="1" x14ac:dyDescent="0.45">
      <c r="A17" s="119" t="s">
        <v>18</v>
      </c>
      <c r="B17" s="121" t="s">
        <v>17</v>
      </c>
      <c r="C17" s="121" t="s">
        <v>16</v>
      </c>
      <c r="D17" s="121" t="s">
        <v>15</v>
      </c>
      <c r="E17" s="121" t="s">
        <v>14</v>
      </c>
      <c r="F17" s="121" t="s">
        <v>13</v>
      </c>
      <c r="G17" s="121" t="s">
        <v>12</v>
      </c>
      <c r="H17" s="121" t="s">
        <v>11</v>
      </c>
      <c r="I17" s="121" t="s">
        <v>10</v>
      </c>
      <c r="J17" s="121" t="s">
        <v>9</v>
      </c>
      <c r="K17" s="121" t="s">
        <v>8</v>
      </c>
      <c r="L17" s="121" t="s">
        <v>7</v>
      </c>
      <c r="M17" s="121" t="s">
        <v>6</v>
      </c>
      <c r="N17"/>
      <c r="O17"/>
    </row>
    <row r="18" spans="1:15" ht="14.6" x14ac:dyDescent="0.4">
      <c r="A18" s="126">
        <v>2014</v>
      </c>
      <c r="B18" s="134">
        <v>25.1</v>
      </c>
      <c r="C18" s="134">
        <v>24.9</v>
      </c>
      <c r="D18" s="134">
        <v>24.8</v>
      </c>
      <c r="E18" s="134">
        <v>26.2</v>
      </c>
      <c r="F18" s="134">
        <v>26.6</v>
      </c>
      <c r="G18" s="134">
        <v>28</v>
      </c>
      <c r="H18" s="134">
        <v>27.8</v>
      </c>
      <c r="I18" s="134">
        <v>27.7</v>
      </c>
      <c r="J18" s="134">
        <v>27.4</v>
      </c>
      <c r="K18" s="134">
        <v>27.4</v>
      </c>
      <c r="L18" s="134">
        <v>26.8</v>
      </c>
      <c r="M18" s="135">
        <v>25.1</v>
      </c>
      <c r="N18"/>
      <c r="O18"/>
    </row>
    <row r="19" spans="1:15" ht="14.6" x14ac:dyDescent="0.4">
      <c r="A19" s="129" t="s">
        <v>3</v>
      </c>
      <c r="B19" s="124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6</v>
      </c>
      <c r="H19" s="124">
        <v>1</v>
      </c>
      <c r="I19" s="124">
        <v>4</v>
      </c>
      <c r="J19" s="124">
        <v>1</v>
      </c>
      <c r="K19" s="124">
        <v>3</v>
      </c>
      <c r="L19" s="124">
        <v>0</v>
      </c>
      <c r="M19" s="136">
        <v>0</v>
      </c>
      <c r="N19"/>
      <c r="O19"/>
    </row>
    <row r="20" spans="1:15" ht="15" thickBot="1" x14ac:dyDescent="0.45">
      <c r="A20" s="131" t="s">
        <v>2</v>
      </c>
      <c r="B20" s="137">
        <v>0</v>
      </c>
      <c r="C20" s="137">
        <v>0</v>
      </c>
      <c r="D20" s="137">
        <v>0</v>
      </c>
      <c r="E20" s="137">
        <v>0</v>
      </c>
      <c r="F20" s="137">
        <v>0</v>
      </c>
      <c r="G20" s="137">
        <v>13</v>
      </c>
      <c r="H20" s="137">
        <v>7</v>
      </c>
      <c r="I20" s="137">
        <v>8</v>
      </c>
      <c r="J20" s="137">
        <v>1</v>
      </c>
      <c r="K20" s="137">
        <v>4</v>
      </c>
      <c r="L20" s="137">
        <v>2</v>
      </c>
      <c r="M20" s="138">
        <v>0</v>
      </c>
      <c r="N20"/>
      <c r="O20"/>
    </row>
    <row r="21" spans="1:15" ht="14.6" x14ac:dyDescent="0.4">
      <c r="A21" s="126">
        <v>2015</v>
      </c>
      <c r="B21" s="127">
        <v>25.3</v>
      </c>
      <c r="C21" s="127">
        <v>25.5</v>
      </c>
      <c r="D21" s="127">
        <v>25.15</v>
      </c>
      <c r="E21" s="127">
        <v>26</v>
      </c>
      <c r="F21" s="127">
        <v>27.15</v>
      </c>
      <c r="G21" s="127">
        <v>28.05</v>
      </c>
      <c r="H21" s="127">
        <v>28.1</v>
      </c>
      <c r="I21" s="127">
        <v>28.15</v>
      </c>
      <c r="J21" s="127">
        <v>27.8</v>
      </c>
      <c r="K21" s="127">
        <v>28.25</v>
      </c>
      <c r="L21" s="127">
        <v>26.7</v>
      </c>
      <c r="M21" s="128">
        <v>26.35</v>
      </c>
      <c r="N21"/>
      <c r="O21"/>
    </row>
    <row r="22" spans="1:15" ht="14.6" x14ac:dyDescent="0.4">
      <c r="A22" s="129" t="s">
        <v>3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v>6</v>
      </c>
      <c r="H22" s="110">
        <v>9</v>
      </c>
      <c r="I22" s="110">
        <v>19</v>
      </c>
      <c r="J22" s="110">
        <v>13</v>
      </c>
      <c r="K22" s="110">
        <v>16</v>
      </c>
      <c r="L22" s="110">
        <v>0</v>
      </c>
      <c r="M22" s="130">
        <v>0</v>
      </c>
      <c r="N22"/>
      <c r="O22"/>
    </row>
    <row r="23" spans="1:15" ht="24" customHeight="1" x14ac:dyDescent="0.4">
      <c r="A23" s="129" t="s">
        <v>2</v>
      </c>
      <c r="B23" s="110">
        <v>0</v>
      </c>
      <c r="C23" s="110">
        <v>0</v>
      </c>
      <c r="D23" s="110">
        <v>0</v>
      </c>
      <c r="E23" s="110">
        <v>0</v>
      </c>
      <c r="F23" s="110">
        <v>3</v>
      </c>
      <c r="G23" s="110">
        <v>13</v>
      </c>
      <c r="H23" s="110">
        <v>11</v>
      </c>
      <c r="I23" s="110">
        <v>13</v>
      </c>
      <c r="J23" s="110">
        <v>3</v>
      </c>
      <c r="K23" s="110">
        <v>7</v>
      </c>
      <c r="L23" s="110">
        <v>2</v>
      </c>
      <c r="M23" s="130">
        <v>0</v>
      </c>
      <c r="N23"/>
      <c r="O23"/>
    </row>
    <row r="24" spans="1:15" ht="21.45" x14ac:dyDescent="0.4">
      <c r="A24" s="129" t="s">
        <v>1</v>
      </c>
      <c r="B24" s="110">
        <v>29.2</v>
      </c>
      <c r="C24" s="110">
        <v>29.4</v>
      </c>
      <c r="D24" s="110">
        <v>29.1</v>
      </c>
      <c r="E24" s="110">
        <v>29.6</v>
      </c>
      <c r="F24" s="110">
        <v>30.9</v>
      </c>
      <c r="G24" s="110">
        <v>31.5</v>
      </c>
      <c r="H24" s="110">
        <v>31.7</v>
      </c>
      <c r="I24" s="110">
        <v>31.8</v>
      </c>
      <c r="J24" s="110">
        <v>31.6</v>
      </c>
      <c r="K24" s="110">
        <v>32</v>
      </c>
      <c r="L24" s="110">
        <v>30.3</v>
      </c>
      <c r="M24" s="130">
        <v>29.8</v>
      </c>
      <c r="N24"/>
      <c r="O24"/>
    </row>
    <row r="25" spans="1:15" ht="21.9" thickBot="1" x14ac:dyDescent="0.45">
      <c r="A25" s="131" t="s">
        <v>0</v>
      </c>
      <c r="B25" s="132">
        <v>21.4</v>
      </c>
      <c r="C25" s="132">
        <v>21.7</v>
      </c>
      <c r="D25" s="132">
        <v>21.2</v>
      </c>
      <c r="E25" s="132">
        <v>22.4</v>
      </c>
      <c r="F25" s="132">
        <v>23.4</v>
      </c>
      <c r="G25" s="132">
        <v>24.6</v>
      </c>
      <c r="H25" s="132">
        <v>24.5</v>
      </c>
      <c r="I25" s="132">
        <v>24.5</v>
      </c>
      <c r="J25" s="132">
        <v>24</v>
      </c>
      <c r="K25" s="132">
        <v>24.5</v>
      </c>
      <c r="L25" s="132">
        <v>23.1</v>
      </c>
      <c r="M25" s="133">
        <v>22.9</v>
      </c>
      <c r="N25"/>
      <c r="O25"/>
    </row>
    <row r="26" spans="1:15" ht="14.6" x14ac:dyDescent="0.4">
      <c r="A26" s="126">
        <v>2016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8"/>
      <c r="N26"/>
      <c r="O26"/>
    </row>
    <row r="27" spans="1:15" ht="21.45" x14ac:dyDescent="0.4">
      <c r="A27" s="129" t="s">
        <v>0</v>
      </c>
      <c r="B27" s="125">
        <v>21.1</v>
      </c>
      <c r="C27" s="125">
        <v>21.8</v>
      </c>
      <c r="D27" s="125">
        <v>21.9</v>
      </c>
      <c r="E27" s="125">
        <v>23.5</v>
      </c>
      <c r="F27" s="125">
        <v>24.4</v>
      </c>
      <c r="G27" s="125">
        <v>24.5</v>
      </c>
      <c r="H27" s="125">
        <v>24.9</v>
      </c>
      <c r="I27" s="125">
        <v>24.6</v>
      </c>
      <c r="J27" s="125">
        <v>24.1</v>
      </c>
      <c r="K27" s="125">
        <v>24.2</v>
      </c>
      <c r="L27" s="125">
        <v>23.4</v>
      </c>
      <c r="M27" s="139">
        <v>22.7</v>
      </c>
      <c r="N27"/>
      <c r="O27"/>
    </row>
    <row r="28" spans="1:15" ht="21.9" thickBot="1" x14ac:dyDescent="0.45">
      <c r="A28" s="131" t="s">
        <v>1</v>
      </c>
      <c r="B28" s="140">
        <v>28.8</v>
      </c>
      <c r="C28" s="140">
        <v>29.4</v>
      </c>
      <c r="D28" s="140">
        <v>29</v>
      </c>
      <c r="E28" s="140">
        <v>30</v>
      </c>
      <c r="F28" s="140">
        <v>30.8</v>
      </c>
      <c r="G28" s="140">
        <v>31.2</v>
      </c>
      <c r="H28" s="140">
        <v>31.3</v>
      </c>
      <c r="I28" s="140">
        <v>31.7</v>
      </c>
      <c r="J28" s="140">
        <v>31.3</v>
      </c>
      <c r="K28" s="140">
        <v>31.4</v>
      </c>
      <c r="L28" s="140">
        <v>30.3</v>
      </c>
      <c r="M28" s="141">
        <v>29.7</v>
      </c>
      <c r="N28"/>
      <c r="O28"/>
    </row>
    <row r="29" spans="1:15" ht="14.6" x14ac:dyDescent="0.4">
      <c r="N29"/>
      <c r="O29"/>
    </row>
    <row r="33" spans="1:1" x14ac:dyDescent="0.35">
      <c r="A33" s="1" t="s">
        <v>150</v>
      </c>
    </row>
  </sheetData>
  <mergeCells count="4">
    <mergeCell ref="A1:J1"/>
    <mergeCell ref="A2:B2"/>
    <mergeCell ref="A11:B11"/>
    <mergeCell ref="A16:B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C7CC-500D-4644-AE28-A33332A2EDFD}">
  <dimension ref="A1:P63"/>
  <sheetViews>
    <sheetView topLeftCell="A46" zoomScale="80" zoomScaleNormal="80" workbookViewId="0">
      <selection activeCell="A63" sqref="A63:D63"/>
    </sheetView>
  </sheetViews>
  <sheetFormatPr baseColWidth="10" defaultColWidth="11.4609375" defaultRowHeight="12.9" x14ac:dyDescent="0.35"/>
  <cols>
    <col min="1" max="1" width="29.07421875" style="1" customWidth="1"/>
    <col min="2" max="2" width="22.07421875" style="1" customWidth="1"/>
    <col min="3" max="3" width="22.53515625" style="1" customWidth="1"/>
    <col min="4" max="4" width="15.07421875" style="1" customWidth="1"/>
    <col min="5" max="5" width="20.15234375" style="1" customWidth="1"/>
    <col min="6" max="7" width="12.4609375" style="1" customWidth="1"/>
    <col min="8" max="8" width="16.3828125" style="1" customWidth="1"/>
    <col min="9" max="13" width="12.4609375" style="1" customWidth="1"/>
    <col min="14" max="14" width="14.3828125" style="1" customWidth="1"/>
    <col min="15" max="15" width="18.3828125" style="1" customWidth="1"/>
    <col min="16" max="16384" width="11.4609375" style="1"/>
  </cols>
  <sheetData>
    <row r="1" spans="1:16" ht="39" customHeight="1" x14ac:dyDescent="0.35">
      <c r="A1" s="221" t="s">
        <v>70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6" ht="13.3" thickBot="1" x14ac:dyDescent="0.4">
      <c r="A2" s="223" t="s">
        <v>141</v>
      </c>
      <c r="B2" s="224"/>
      <c r="C2" s="107" t="s">
        <v>135</v>
      </c>
    </row>
    <row r="3" spans="1:16" ht="14.6" x14ac:dyDescent="0.4">
      <c r="A3" s="170" t="s">
        <v>140</v>
      </c>
      <c r="B3" s="149">
        <v>2012</v>
      </c>
      <c r="C3" s="149">
        <v>2013</v>
      </c>
      <c r="D3" s="149">
        <v>2014</v>
      </c>
      <c r="E3" s="149">
        <v>2015</v>
      </c>
      <c r="F3" s="149">
        <v>2016</v>
      </c>
      <c r="G3"/>
      <c r="H3"/>
      <c r="I3"/>
      <c r="J3"/>
      <c r="K3"/>
      <c r="L3"/>
      <c r="N3" s="10" t="s">
        <v>40</v>
      </c>
      <c r="O3"/>
      <c r="P3"/>
    </row>
    <row r="4" spans="1:16" ht="14.6" x14ac:dyDescent="0.4">
      <c r="A4" s="156" t="s">
        <v>41</v>
      </c>
      <c r="B4"/>
      <c r="D4"/>
      <c r="E4"/>
      <c r="F4"/>
      <c r="G4"/>
      <c r="H4"/>
      <c r="I4"/>
      <c r="J4"/>
      <c r="K4"/>
      <c r="L4"/>
      <c r="N4" s="12">
        <v>2442</v>
      </c>
      <c r="O4"/>
      <c r="P4"/>
    </row>
    <row r="5" spans="1:16" ht="14.6" x14ac:dyDescent="0.4">
      <c r="A5" s="8" t="s">
        <v>36</v>
      </c>
      <c r="B5" s="153"/>
      <c r="C5" s="154">
        <v>50</v>
      </c>
      <c r="D5" s="154">
        <v>49</v>
      </c>
      <c r="E5" s="154">
        <v>56</v>
      </c>
      <c r="F5" s="155">
        <v>53</v>
      </c>
      <c r="G5"/>
      <c r="H5"/>
      <c r="I5"/>
      <c r="J5"/>
      <c r="K5"/>
      <c r="L5"/>
      <c r="N5" s="12">
        <v>135514</v>
      </c>
      <c r="O5"/>
      <c r="P5"/>
    </row>
    <row r="6" spans="1:16" ht="14.6" x14ac:dyDescent="0.4">
      <c r="A6" s="8" t="s">
        <v>35</v>
      </c>
      <c r="B6" s="153"/>
      <c r="C6" s="154">
        <v>2859</v>
      </c>
      <c r="D6" s="154">
        <v>2857</v>
      </c>
      <c r="E6" s="154">
        <v>3064</v>
      </c>
      <c r="F6" s="155">
        <v>2871</v>
      </c>
      <c r="G6"/>
      <c r="H6"/>
      <c r="I6"/>
      <c r="J6"/>
      <c r="K6"/>
      <c r="L6"/>
      <c r="N6" s="12">
        <v>911651</v>
      </c>
      <c r="O6"/>
      <c r="P6"/>
    </row>
    <row r="7" spans="1:16" ht="14.6" x14ac:dyDescent="0.4">
      <c r="A7" s="8" t="s">
        <v>34</v>
      </c>
      <c r="B7" s="153"/>
      <c r="C7" s="154">
        <v>202710</v>
      </c>
      <c r="D7" s="154">
        <v>204730</v>
      </c>
      <c r="E7" s="154">
        <v>220560</v>
      </c>
      <c r="F7" s="155">
        <v>209541</v>
      </c>
      <c r="G7"/>
      <c r="H7"/>
      <c r="I7"/>
      <c r="J7"/>
      <c r="K7"/>
      <c r="L7"/>
      <c r="N7" s="12">
        <v>44584</v>
      </c>
      <c r="O7"/>
      <c r="P7"/>
    </row>
    <row r="8" spans="1:16" ht="14.6" x14ac:dyDescent="0.4">
      <c r="A8" s="8" t="s">
        <v>33</v>
      </c>
      <c r="B8" s="153"/>
      <c r="C8" s="154">
        <v>2413</v>
      </c>
      <c r="D8" s="154">
        <v>2433</v>
      </c>
      <c r="E8" s="154">
        <v>2484</v>
      </c>
      <c r="F8" s="155">
        <v>2658</v>
      </c>
      <c r="G8"/>
      <c r="H8"/>
      <c r="I8"/>
      <c r="J8"/>
      <c r="K8"/>
      <c r="L8"/>
      <c r="N8" s="12">
        <v>706432</v>
      </c>
      <c r="O8"/>
      <c r="P8"/>
    </row>
    <row r="9" spans="1:16" ht="14.6" x14ac:dyDescent="0.4">
      <c r="A9" s="8" t="s">
        <v>32</v>
      </c>
      <c r="B9" s="153"/>
      <c r="C9" s="154">
        <v>22835</v>
      </c>
      <c r="D9" s="154">
        <v>23371</v>
      </c>
      <c r="E9" s="154">
        <v>25361</v>
      </c>
      <c r="F9" s="155">
        <v>23781</v>
      </c>
      <c r="G9"/>
      <c r="H9"/>
      <c r="I9"/>
      <c r="J9"/>
      <c r="K9"/>
      <c r="L9"/>
      <c r="N9" s="12">
        <v>1431</v>
      </c>
      <c r="O9"/>
      <c r="P9"/>
    </row>
    <row r="10" spans="1:16" ht="14.6" x14ac:dyDescent="0.4">
      <c r="A10" s="8" t="s">
        <v>31</v>
      </c>
      <c r="B10" s="153"/>
      <c r="C10" s="154">
        <v>308</v>
      </c>
      <c r="D10" s="154">
        <v>329</v>
      </c>
      <c r="E10" s="154">
        <v>371</v>
      </c>
      <c r="F10" s="155">
        <v>422</v>
      </c>
      <c r="G10"/>
      <c r="H10"/>
      <c r="I10"/>
      <c r="J10"/>
      <c r="K10"/>
      <c r="L10"/>
      <c r="N10" s="11">
        <v>55508</v>
      </c>
      <c r="O10"/>
      <c r="P10"/>
    </row>
    <row r="11" spans="1:16" s="118" customFormat="1" ht="14.6" x14ac:dyDescent="0.4">
      <c r="A11" s="8" t="s">
        <v>30</v>
      </c>
      <c r="B11" s="153"/>
      <c r="C11" s="154">
        <v>477</v>
      </c>
      <c r="D11" s="154">
        <v>521</v>
      </c>
      <c r="E11" s="154">
        <v>634</v>
      </c>
      <c r="F11" s="155">
        <v>588</v>
      </c>
      <c r="G11"/>
      <c r="H11"/>
      <c r="I11"/>
      <c r="J11"/>
      <c r="K11"/>
      <c r="L11"/>
      <c r="N11" s="9">
        <f>SUM(N4:N10)</f>
        <v>1857562</v>
      </c>
      <c r="O11"/>
      <c r="P11"/>
    </row>
    <row r="12" spans="1:16" ht="14.6" x14ac:dyDescent="0.4">
      <c r="A12" s="158" t="s">
        <v>37</v>
      </c>
      <c r="B12" s="159"/>
      <c r="C12" s="160">
        <f>SUM(C5:C11)</f>
        <v>231652</v>
      </c>
      <c r="D12" s="160">
        <f>SUM(D5:D11)</f>
        <v>234290</v>
      </c>
      <c r="E12" s="160">
        <f>SUM(E5:E11)</f>
        <v>252530</v>
      </c>
      <c r="F12" s="160">
        <f>SUM(F5:F11)</f>
        <v>239914</v>
      </c>
      <c r="G12"/>
      <c r="H12"/>
      <c r="I12"/>
      <c r="J12"/>
      <c r="K12"/>
      <c r="L12"/>
      <c r="M12" s="7"/>
      <c r="N12" s="7"/>
      <c r="O12"/>
      <c r="P12"/>
    </row>
    <row r="13" spans="1:16" ht="15" customHeight="1" x14ac:dyDescent="0.4">
      <c r="A13" s="113" t="s">
        <v>139</v>
      </c>
      <c r="B13" s="113"/>
      <c r="C13" s="113"/>
      <c r="D13" s="114">
        <f>(D12-C12)/C12</f>
        <v>1.1387771312140626E-2</v>
      </c>
      <c r="E13" s="114">
        <f t="shared" ref="E13:F13" si="0">(E12-D12)/D12</f>
        <v>7.7852234410346152E-2</v>
      </c>
      <c r="F13" s="114">
        <f t="shared" si="0"/>
        <v>-4.9958420781689307E-2</v>
      </c>
      <c r="G13" s="7"/>
      <c r="H13" s="7"/>
      <c r="I13" s="7"/>
      <c r="J13" s="7"/>
      <c r="K13" s="7"/>
      <c r="L13" s="7"/>
      <c r="M13" s="7"/>
      <c r="N13" s="7"/>
      <c r="O13"/>
      <c r="P13"/>
    </row>
    <row r="14" spans="1:16" ht="14.6" x14ac:dyDescent="0.4">
      <c r="O14"/>
      <c r="P14"/>
    </row>
    <row r="15" spans="1:16" ht="14.6" x14ac:dyDescent="0.4">
      <c r="A15" s="157" t="s">
        <v>39</v>
      </c>
      <c r="B15" s="7"/>
      <c r="C15" s="7"/>
      <c r="D15" s="7"/>
      <c r="E15" s="7"/>
      <c r="F15" s="7"/>
      <c r="O15"/>
      <c r="P15"/>
    </row>
    <row r="16" spans="1:16" ht="14.6" x14ac:dyDescent="0.4">
      <c r="A16" s="8" t="s">
        <v>36</v>
      </c>
      <c r="B16" s="110"/>
      <c r="C16" s="161" t="e">
        <f t="shared" ref="C16:C22" si="1">C27*1728900</f>
        <v>#REF!</v>
      </c>
      <c r="D16" s="161" t="e">
        <f t="shared" ref="D16:D22" si="2">D27*1733404</f>
        <v>#REF!</v>
      </c>
      <c r="E16" s="161" t="e">
        <f t="shared" ref="E16:E22" si="3">E27*1758686</f>
        <v>#REF!</v>
      </c>
      <c r="F16" s="161" t="e">
        <f t="shared" ref="F16:F22" si="4">F27*$F$23</f>
        <v>#REF!</v>
      </c>
      <c r="O16"/>
      <c r="P16"/>
    </row>
    <row r="17" spans="1:16" ht="14.6" x14ac:dyDescent="0.4">
      <c r="A17" s="8" t="s">
        <v>35</v>
      </c>
      <c r="B17" s="110"/>
      <c r="C17" s="161" t="e">
        <f t="shared" si="1"/>
        <v>#REF!</v>
      </c>
      <c r="D17" s="161" t="e">
        <f t="shared" si="2"/>
        <v>#REF!</v>
      </c>
      <c r="E17" s="161" t="e">
        <f t="shared" si="3"/>
        <v>#REF!</v>
      </c>
      <c r="F17" s="161" t="e">
        <f t="shared" si="4"/>
        <v>#REF!</v>
      </c>
      <c r="O17"/>
      <c r="P17"/>
    </row>
    <row r="18" spans="1:16" ht="14.6" x14ac:dyDescent="0.4">
      <c r="A18" s="8" t="s">
        <v>34</v>
      </c>
      <c r="B18" s="110"/>
      <c r="C18" s="161" t="e">
        <f t="shared" si="1"/>
        <v>#REF!</v>
      </c>
      <c r="D18" s="161" t="e">
        <f t="shared" si="2"/>
        <v>#REF!</v>
      </c>
      <c r="E18" s="161" t="e">
        <f t="shared" si="3"/>
        <v>#REF!</v>
      </c>
      <c r="F18" s="161" t="e">
        <f t="shared" si="4"/>
        <v>#REF!</v>
      </c>
      <c r="O18"/>
      <c r="P18"/>
    </row>
    <row r="19" spans="1:16" ht="14.6" x14ac:dyDescent="0.4">
      <c r="A19" s="8" t="s">
        <v>33</v>
      </c>
      <c r="B19" s="110"/>
      <c r="C19" s="161" t="e">
        <f t="shared" si="1"/>
        <v>#REF!</v>
      </c>
      <c r="D19" s="161" t="e">
        <f t="shared" si="2"/>
        <v>#REF!</v>
      </c>
      <c r="E19" s="161" t="e">
        <f t="shared" si="3"/>
        <v>#REF!</v>
      </c>
      <c r="F19" s="161" t="e">
        <f t="shared" si="4"/>
        <v>#REF!</v>
      </c>
      <c r="O19"/>
      <c r="P19"/>
    </row>
    <row r="20" spans="1:16" ht="14.6" x14ac:dyDescent="0.4">
      <c r="A20" s="8" t="s">
        <v>32</v>
      </c>
      <c r="B20" s="110"/>
      <c r="C20" s="161" t="e">
        <f t="shared" si="1"/>
        <v>#REF!</v>
      </c>
      <c r="D20" s="161" t="e">
        <f t="shared" si="2"/>
        <v>#REF!</v>
      </c>
      <c r="E20" s="161" t="e">
        <f t="shared" si="3"/>
        <v>#REF!</v>
      </c>
      <c r="F20" s="161" t="e">
        <f t="shared" si="4"/>
        <v>#REF!</v>
      </c>
      <c r="O20"/>
      <c r="P20"/>
    </row>
    <row r="21" spans="1:16" ht="14.6" x14ac:dyDescent="0.4">
      <c r="A21" s="8" t="s">
        <v>31</v>
      </c>
      <c r="B21" s="110"/>
      <c r="C21" s="161" t="e">
        <f t="shared" si="1"/>
        <v>#REF!</v>
      </c>
      <c r="D21" s="161" t="e">
        <f t="shared" si="2"/>
        <v>#REF!</v>
      </c>
      <c r="E21" s="161" t="e">
        <f t="shared" si="3"/>
        <v>#REF!</v>
      </c>
      <c r="F21" s="161" t="e">
        <f t="shared" si="4"/>
        <v>#REF!</v>
      </c>
      <c r="O21"/>
      <c r="P21"/>
    </row>
    <row r="22" spans="1:16" ht="14.6" x14ac:dyDescent="0.4">
      <c r="A22" s="8" t="s">
        <v>30</v>
      </c>
      <c r="B22" s="110"/>
      <c r="C22" s="161" t="e">
        <f t="shared" si="1"/>
        <v>#REF!</v>
      </c>
      <c r="D22" s="161" t="e">
        <f t="shared" si="2"/>
        <v>#REF!</v>
      </c>
      <c r="E22" s="161" t="e">
        <f t="shared" si="3"/>
        <v>#REF!</v>
      </c>
      <c r="F22" s="161" t="e">
        <f t="shared" si="4"/>
        <v>#REF!</v>
      </c>
      <c r="O22"/>
      <c r="P22"/>
    </row>
    <row r="23" spans="1:16" ht="14.6" x14ac:dyDescent="0.4">
      <c r="A23" s="162" t="s">
        <v>37</v>
      </c>
      <c r="B23" s="152"/>
      <c r="C23" s="163" t="e">
        <f>SUM(C16:C22)</f>
        <v>#REF!</v>
      </c>
      <c r="D23" s="163" t="e">
        <f>SUM(D16:D22)</f>
        <v>#REF!</v>
      </c>
      <c r="E23" s="163" t="e">
        <f>SUM(E16:E22)</f>
        <v>#REF!</v>
      </c>
      <c r="F23" s="163">
        <v>1791404</v>
      </c>
      <c r="O23"/>
      <c r="P23"/>
    </row>
    <row r="24" spans="1:16" ht="14.6" x14ac:dyDescent="0.4">
      <c r="A24" s="113" t="s">
        <v>139</v>
      </c>
      <c r="B24" s="113"/>
      <c r="C24" s="113"/>
      <c r="D24" s="114" t="e">
        <f>(D23-C23)/C23</f>
        <v>#REF!</v>
      </c>
      <c r="E24" s="114" t="e">
        <f t="shared" ref="E24" si="5">(E23-D23)/D23</f>
        <v>#REF!</v>
      </c>
      <c r="F24" s="114" t="e">
        <f t="shared" ref="F24" si="6">(F23-E23)/E23</f>
        <v>#REF!</v>
      </c>
      <c r="O24"/>
      <c r="P24"/>
    </row>
    <row r="25" spans="1:16" ht="14.6" x14ac:dyDescent="0.4">
      <c r="O25"/>
      <c r="P25"/>
    </row>
    <row r="26" spans="1:16" ht="14.6" x14ac:dyDescent="0.4">
      <c r="A26" s="169" t="s">
        <v>38</v>
      </c>
      <c r="B26"/>
      <c r="C26"/>
      <c r="D26"/>
      <c r="E26"/>
      <c r="F26"/>
      <c r="O26"/>
      <c r="P26"/>
    </row>
    <row r="27" spans="1:16" ht="14.6" x14ac:dyDescent="0.4">
      <c r="A27" s="8" t="s">
        <v>36</v>
      </c>
      <c r="B27" s="153"/>
      <c r="C27" s="164" t="e">
        <f>#REF!/#REF!</f>
        <v>#REF!</v>
      </c>
      <c r="D27" s="164" t="e">
        <f>#REF!/#REF!</f>
        <v>#REF!</v>
      </c>
      <c r="E27" s="164" t="e">
        <f>#REF!/#REF!</f>
        <v>#REF!</v>
      </c>
      <c r="F27" s="164" t="e">
        <f>#REF!/#REF!</f>
        <v>#REF!</v>
      </c>
      <c r="O27"/>
      <c r="P27"/>
    </row>
    <row r="28" spans="1:16" ht="14.6" x14ac:dyDescent="0.4">
      <c r="A28" s="8" t="s">
        <v>35</v>
      </c>
      <c r="B28" s="153"/>
      <c r="C28" s="164" t="e">
        <f>#REF!/#REF!</f>
        <v>#REF!</v>
      </c>
      <c r="D28" s="164" t="e">
        <f>#REF!/#REF!</f>
        <v>#REF!</v>
      </c>
      <c r="E28" s="164" t="e">
        <f>#REF!/#REF!</f>
        <v>#REF!</v>
      </c>
      <c r="F28" s="164" t="e">
        <f>#REF!/#REF!</f>
        <v>#REF!</v>
      </c>
      <c r="O28"/>
      <c r="P28"/>
    </row>
    <row r="29" spans="1:16" ht="14.6" x14ac:dyDescent="0.4">
      <c r="A29" s="8" t="s">
        <v>34</v>
      </c>
      <c r="B29" s="153"/>
      <c r="C29" s="164" t="e">
        <f>#REF!/#REF!</f>
        <v>#REF!</v>
      </c>
      <c r="D29" s="164" t="e">
        <f>#REF!/#REF!</f>
        <v>#REF!</v>
      </c>
      <c r="E29" s="164" t="e">
        <f>#REF!/#REF!</f>
        <v>#REF!</v>
      </c>
      <c r="F29" s="164" t="e">
        <f>#REF!/#REF!</f>
        <v>#REF!</v>
      </c>
      <c r="O29"/>
      <c r="P29"/>
    </row>
    <row r="30" spans="1:16" ht="14.6" x14ac:dyDescent="0.4">
      <c r="A30" s="8" t="s">
        <v>33</v>
      </c>
      <c r="B30" s="153"/>
      <c r="C30" s="164" t="e">
        <f>#REF!/#REF!</f>
        <v>#REF!</v>
      </c>
      <c r="D30" s="164" t="e">
        <f>#REF!/#REF!</f>
        <v>#REF!</v>
      </c>
      <c r="E30" s="164" t="e">
        <f>#REF!/#REF!</f>
        <v>#REF!</v>
      </c>
      <c r="F30" s="164" t="e">
        <f>#REF!/#REF!</f>
        <v>#REF!</v>
      </c>
      <c r="O30"/>
      <c r="P30"/>
    </row>
    <row r="31" spans="1:16" ht="14.6" x14ac:dyDescent="0.4">
      <c r="A31" s="8" t="s">
        <v>32</v>
      </c>
      <c r="B31" s="153"/>
      <c r="C31" s="164" t="e">
        <f>#REF!/#REF!</f>
        <v>#REF!</v>
      </c>
      <c r="D31" s="164" t="e">
        <f>#REF!/#REF!</f>
        <v>#REF!</v>
      </c>
      <c r="E31" s="164" t="e">
        <f>#REF!/#REF!</f>
        <v>#REF!</v>
      </c>
      <c r="F31" s="164" t="e">
        <f>#REF!/#REF!</f>
        <v>#REF!</v>
      </c>
      <c r="O31"/>
      <c r="P31"/>
    </row>
    <row r="32" spans="1:16" ht="14.6" x14ac:dyDescent="0.4">
      <c r="A32" s="8" t="s">
        <v>31</v>
      </c>
      <c r="B32" s="153"/>
      <c r="C32" s="164" t="e">
        <f>#REF!/#REF!</f>
        <v>#REF!</v>
      </c>
      <c r="D32" s="164" t="e">
        <f>#REF!/#REF!</f>
        <v>#REF!</v>
      </c>
      <c r="E32" s="164" t="e">
        <f>#REF!/#REF!</f>
        <v>#REF!</v>
      </c>
      <c r="F32" s="164" t="e">
        <f>#REF!/#REF!</f>
        <v>#REF!</v>
      </c>
      <c r="O32"/>
      <c r="P32"/>
    </row>
    <row r="33" spans="1:16" ht="14.6" x14ac:dyDescent="0.4">
      <c r="A33" s="8" t="s">
        <v>30</v>
      </c>
      <c r="B33" s="153"/>
      <c r="C33" s="164" t="e">
        <f>#REF!/#REF!</f>
        <v>#REF!</v>
      </c>
      <c r="D33" s="164" t="e">
        <f>#REF!/#REF!</f>
        <v>#REF!</v>
      </c>
      <c r="E33" s="164" t="e">
        <f>#REF!/#REF!</f>
        <v>#REF!</v>
      </c>
      <c r="F33" s="164" t="e">
        <f>#REF!/#REF!</f>
        <v>#REF!</v>
      </c>
      <c r="O33"/>
      <c r="P33"/>
    </row>
    <row r="34" spans="1:16" ht="14.6" x14ac:dyDescent="0.4">
      <c r="A34" s="167" t="s">
        <v>37</v>
      </c>
      <c r="B34" s="168"/>
      <c r="C34" s="165" t="e">
        <f>SUM(C27:C33)</f>
        <v>#REF!</v>
      </c>
      <c r="D34" s="165" t="e">
        <f>SUM(D27:D33)</f>
        <v>#REF!</v>
      </c>
      <c r="E34" s="166" t="e">
        <f>SUM(E27:E33)</f>
        <v>#REF!</v>
      </c>
      <c r="F34" s="166" t="e">
        <f>SUM(F27:F33)</f>
        <v>#REF!</v>
      </c>
      <c r="O34"/>
      <c r="P34"/>
    </row>
    <row r="35" spans="1:16" ht="14.6" x14ac:dyDescent="0.4">
      <c r="A35"/>
      <c r="B35"/>
      <c r="C35"/>
      <c r="D35"/>
      <c r="O35"/>
      <c r="P35"/>
    </row>
    <row r="36" spans="1:16" ht="14.6" x14ac:dyDescent="0.4">
      <c r="A36"/>
      <c r="B36"/>
      <c r="C36"/>
      <c r="D36"/>
      <c r="O36"/>
      <c r="P36"/>
    </row>
    <row r="37" spans="1:16" ht="14.6" x14ac:dyDescent="0.4">
      <c r="A37" s="223" t="s">
        <v>142</v>
      </c>
      <c r="B37" s="224"/>
      <c r="C37" s="107" t="s">
        <v>135</v>
      </c>
      <c r="O37"/>
      <c r="P37"/>
    </row>
    <row r="38" spans="1:16" ht="14.6" x14ac:dyDescent="0.4">
      <c r="A38" s="170" t="s">
        <v>143</v>
      </c>
      <c r="B38" s="149">
        <v>2012</v>
      </c>
      <c r="C38" s="149">
        <v>2013</v>
      </c>
      <c r="D38" s="149">
        <v>2014</v>
      </c>
      <c r="E38" s="149">
        <v>2015</v>
      </c>
      <c r="F38" s="149">
        <v>2016</v>
      </c>
      <c r="O38"/>
      <c r="P38"/>
    </row>
    <row r="39" spans="1:16" ht="14.6" x14ac:dyDescent="0.4">
      <c r="A39" s="171" t="s">
        <v>137</v>
      </c>
      <c r="B39"/>
      <c r="C39"/>
      <c r="D39"/>
      <c r="E39"/>
      <c r="F39"/>
      <c r="O39"/>
      <c r="P39"/>
    </row>
    <row r="40" spans="1:16" ht="14.6" x14ac:dyDescent="0.4">
      <c r="A40" s="143" t="s">
        <v>45</v>
      </c>
      <c r="B40" s="143">
        <v>3676</v>
      </c>
      <c r="C40" s="1">
        <v>2420</v>
      </c>
      <c r="D40" s="1">
        <v>2439</v>
      </c>
      <c r="E40" s="1">
        <v>2462</v>
      </c>
      <c r="F40" s="1">
        <v>2681</v>
      </c>
      <c r="O40"/>
      <c r="P40"/>
    </row>
    <row r="41" spans="1:16" ht="14.6" x14ac:dyDescent="0.4">
      <c r="A41" s="143" t="s">
        <v>44</v>
      </c>
      <c r="B41" s="143">
        <v>242517</v>
      </c>
      <c r="C41" s="1">
        <v>227503</v>
      </c>
      <c r="D41" s="1">
        <v>230079</v>
      </c>
      <c r="E41" s="1">
        <v>231258</v>
      </c>
      <c r="F41" s="1">
        <v>235362</v>
      </c>
      <c r="O41"/>
      <c r="P41"/>
    </row>
    <row r="42" spans="1:16" ht="14.6" x14ac:dyDescent="0.4">
      <c r="A42" s="143" t="s">
        <v>43</v>
      </c>
      <c r="B42" s="143">
        <v>1156</v>
      </c>
      <c r="C42" s="1">
        <v>1115</v>
      </c>
      <c r="D42" s="1">
        <v>1160</v>
      </c>
      <c r="E42" s="1">
        <v>1180</v>
      </c>
      <c r="F42" s="1">
        <v>1265</v>
      </c>
      <c r="G42"/>
      <c r="H42"/>
      <c r="I42"/>
      <c r="J42"/>
      <c r="K42"/>
      <c r="L42"/>
      <c r="M42"/>
      <c r="N42"/>
      <c r="O42"/>
      <c r="P42"/>
    </row>
    <row r="43" spans="1:16" ht="14.6" x14ac:dyDescent="0.4">
      <c r="A43" s="143" t="s">
        <v>42</v>
      </c>
      <c r="B43" s="143">
        <v>653</v>
      </c>
      <c r="C43" s="1">
        <v>614</v>
      </c>
      <c r="D43" s="1">
        <v>612</v>
      </c>
      <c r="E43" s="1">
        <v>610</v>
      </c>
      <c r="F43" s="1">
        <v>606</v>
      </c>
      <c r="G43"/>
      <c r="H43"/>
      <c r="J43"/>
      <c r="K43"/>
      <c r="M43"/>
      <c r="N43"/>
      <c r="O43"/>
      <c r="P43"/>
    </row>
    <row r="44" spans="1:16" ht="11.6" customHeight="1" x14ac:dyDescent="0.4">
      <c r="A44" s="148" t="s">
        <v>37</v>
      </c>
      <c r="B44" s="148">
        <v>248002</v>
      </c>
      <c r="C44" s="150">
        <v>231652</v>
      </c>
      <c r="D44" s="150">
        <v>234290</v>
      </c>
      <c r="E44" s="150">
        <v>235510</v>
      </c>
      <c r="F44" s="150">
        <v>239914</v>
      </c>
      <c r="H44" s="142"/>
      <c r="K44" s="142"/>
      <c r="N44" s="142"/>
      <c r="O44"/>
      <c r="P44"/>
    </row>
    <row r="45" spans="1:16" ht="14.6" x14ac:dyDescent="0.4">
      <c r="A45" s="146" t="s">
        <v>131</v>
      </c>
      <c r="B45"/>
      <c r="C45" s="145">
        <f>(C44-B44)/B44</f>
        <v>-6.5926887686389629E-2</v>
      </c>
      <c r="D45" s="145">
        <f t="shared" ref="D45:F45" si="7">(D44-C44)/C44</f>
        <v>1.1387771312140626E-2</v>
      </c>
      <c r="E45" s="145">
        <f t="shared" si="7"/>
        <v>5.2072218191130653E-3</v>
      </c>
      <c r="F45" s="145">
        <f t="shared" si="7"/>
        <v>1.8699842894144621E-2</v>
      </c>
      <c r="H45" s="143"/>
      <c r="K45" s="143"/>
      <c r="N45" s="143"/>
      <c r="O45"/>
      <c r="P45"/>
    </row>
    <row r="46" spans="1:16" ht="14.6" x14ac:dyDescent="0.4">
      <c r="H46" s="143"/>
      <c r="K46" s="143"/>
      <c r="N46" s="143"/>
      <c r="O46"/>
      <c r="P46"/>
    </row>
    <row r="47" spans="1:16" ht="14.6" x14ac:dyDescent="0.4">
      <c r="A47" s="172" t="s">
        <v>39</v>
      </c>
      <c r="H47" s="143"/>
      <c r="K47" s="143"/>
      <c r="N47" s="143"/>
      <c r="O47"/>
      <c r="P47"/>
    </row>
    <row r="48" spans="1:16" ht="14.6" x14ac:dyDescent="0.4">
      <c r="A48" s="143" t="s">
        <v>45</v>
      </c>
      <c r="B48" s="143"/>
      <c r="C48" s="143">
        <v>37.987098591549298</v>
      </c>
      <c r="D48" s="143">
        <v>42.656474272930652</v>
      </c>
      <c r="E48" s="143">
        <v>40.990461709211985</v>
      </c>
      <c r="F48" s="143">
        <f>43164.8858213077/1000</f>
        <v>43.164885821307699</v>
      </c>
      <c r="H48" s="143"/>
      <c r="K48" s="143"/>
      <c r="N48" s="143"/>
      <c r="O48"/>
      <c r="P48"/>
    </row>
    <row r="49" spans="1:16" ht="14.6" x14ac:dyDescent="0.4">
      <c r="A49" s="143" t="s">
        <v>44</v>
      </c>
      <c r="B49" s="143"/>
      <c r="C49" s="143">
        <v>1139.612957746479</v>
      </c>
      <c r="D49" s="143">
        <v>1133.3049642058165</v>
      </c>
      <c r="E49" s="143">
        <v>1145.7810011098777</v>
      </c>
      <c r="F49" s="143">
        <f>1178279.19540559/1000</f>
        <v>1178.2791954055901</v>
      </c>
      <c r="H49" s="143"/>
      <c r="K49" s="143"/>
      <c r="N49" s="143"/>
      <c r="O49"/>
      <c r="P49"/>
    </row>
    <row r="50" spans="1:16" ht="15" customHeight="1" x14ac:dyDescent="0.4">
      <c r="A50" s="143" t="s">
        <v>43</v>
      </c>
      <c r="B50" s="143"/>
      <c r="C50" s="143">
        <v>121.75352112676057</v>
      </c>
      <c r="D50" s="143">
        <v>132.81674944071588</v>
      </c>
      <c r="E50" s="143">
        <v>145.41854273029966</v>
      </c>
      <c r="F50" s="143">
        <f>142335.437077201/1000</f>
        <v>142.33543707720099</v>
      </c>
      <c r="G50"/>
      <c r="H50"/>
      <c r="I50"/>
      <c r="J50"/>
      <c r="K50"/>
      <c r="L50"/>
      <c r="M50"/>
      <c r="N50"/>
      <c r="O50"/>
      <c r="P50"/>
    </row>
    <row r="51" spans="1:16" ht="14.6" x14ac:dyDescent="0.4">
      <c r="A51" s="143" t="s">
        <v>42</v>
      </c>
      <c r="B51" s="143"/>
      <c r="C51" s="143">
        <v>429.54642253521132</v>
      </c>
      <c r="D51" s="143">
        <v>424.62581208053695</v>
      </c>
      <c r="E51" s="143">
        <v>426.4959944506104</v>
      </c>
      <c r="F51" s="143">
        <f>427624.4816959/1000</f>
        <v>427.62448169589999</v>
      </c>
      <c r="O51"/>
      <c r="P51"/>
    </row>
    <row r="52" spans="1:16" x14ac:dyDescent="0.35">
      <c r="A52" s="151" t="s">
        <v>37</v>
      </c>
      <c r="B52" s="151"/>
      <c r="C52" s="151">
        <v>1728.9000000000003</v>
      </c>
      <c r="D52" s="151">
        <v>1733.404</v>
      </c>
      <c r="E52" s="151">
        <v>1758.6859999999997</v>
      </c>
      <c r="F52" s="151">
        <f>1791404/1000</f>
        <v>1791.404</v>
      </c>
    </row>
    <row r="53" spans="1:16" ht="14.6" x14ac:dyDescent="0.4">
      <c r="A53" s="146" t="s">
        <v>138</v>
      </c>
      <c r="B53"/>
      <c r="C53" s="145"/>
      <c r="D53" s="145">
        <f t="shared" ref="D53" si="8">(D52-C52)/C52</f>
        <v>2.605124645728311E-3</v>
      </c>
      <c r="E53" s="145">
        <f t="shared" ref="E53" si="9">(E52-D52)/D52</f>
        <v>1.45851746044198E-2</v>
      </c>
      <c r="F53" s="145">
        <f t="shared" ref="F53" si="10">(F52-E52)/E52</f>
        <v>1.8603662052236902E-2</v>
      </c>
    </row>
    <row r="55" spans="1:16" ht="14.6" x14ac:dyDescent="0.4">
      <c r="A55" s="173" t="s">
        <v>38</v>
      </c>
      <c r="C55" s="142"/>
      <c r="D55" s="142"/>
      <c r="E55" s="142"/>
    </row>
    <row r="56" spans="1:16" x14ac:dyDescent="0.35">
      <c r="A56" s="143" t="s">
        <v>45</v>
      </c>
      <c r="B56" s="147"/>
      <c r="C56" s="147">
        <v>2.4608501118568233E-2</v>
      </c>
      <c r="D56" s="147">
        <v>2.3307436182019976E-2</v>
      </c>
      <c r="E56" s="147">
        <v>2.4095561817048368E-2</v>
      </c>
      <c r="F56" s="4">
        <v>2.4095561817048368E-2</v>
      </c>
    </row>
    <row r="57" spans="1:16" x14ac:dyDescent="0.35">
      <c r="A57" s="143" t="s">
        <v>44</v>
      </c>
      <c r="B57" s="147"/>
      <c r="C57" s="147">
        <v>0.65380313199105144</v>
      </c>
      <c r="D57" s="147">
        <v>0.65149833518312983</v>
      </c>
      <c r="E57" s="147">
        <v>0.65774062992244675</v>
      </c>
      <c r="F57" s="4">
        <v>0.65774062992244675</v>
      </c>
    </row>
    <row r="58" spans="1:16" x14ac:dyDescent="0.35">
      <c r="A58" s="143" t="s">
        <v>43</v>
      </c>
      <c r="B58" s="147"/>
      <c r="C58" s="147">
        <v>7.6621923937360184E-2</v>
      </c>
      <c r="D58" s="147">
        <v>8.2685904550499442E-2</v>
      </c>
      <c r="E58" s="147">
        <v>7.9454683073835491E-2</v>
      </c>
      <c r="F58" s="4">
        <v>7.9454683073835491E-2</v>
      </c>
    </row>
    <row r="59" spans="1:16" x14ac:dyDescent="0.35">
      <c r="A59" s="143" t="s">
        <v>42</v>
      </c>
      <c r="B59" s="147"/>
      <c r="C59" s="147">
        <v>0.24496644295302014</v>
      </c>
      <c r="D59" s="147">
        <v>0.24250832408435072</v>
      </c>
      <c r="E59" s="147">
        <v>0.2387091251866694</v>
      </c>
      <c r="F59" s="4">
        <v>0.2387091251866694</v>
      </c>
    </row>
    <row r="60" spans="1:16" x14ac:dyDescent="0.35">
      <c r="A60" s="144" t="s">
        <v>37</v>
      </c>
      <c r="B60" s="174"/>
      <c r="C60" s="174">
        <v>1</v>
      </c>
      <c r="D60" s="174">
        <v>1</v>
      </c>
      <c r="E60" s="174">
        <v>1</v>
      </c>
      <c r="F60" s="175">
        <v>1</v>
      </c>
    </row>
    <row r="63" spans="1:16" x14ac:dyDescent="0.35">
      <c r="A63" s="1" t="s">
        <v>150</v>
      </c>
    </row>
  </sheetData>
  <mergeCells count="3">
    <mergeCell ref="A37:B37"/>
    <mergeCell ref="A1:J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6"/>
  <sheetViews>
    <sheetView zoomScale="60" zoomScaleNormal="60" workbookViewId="0">
      <pane xSplit="2" ySplit="6" topLeftCell="C31" activePane="bottomRight" state="frozen"/>
      <selection pane="topRight" activeCell="C1" sqref="C1"/>
      <selection pane="bottomLeft" activeCell="A5" sqref="A5"/>
      <selection pane="bottomRight" activeCell="A43" sqref="A43:D43"/>
    </sheetView>
  </sheetViews>
  <sheetFormatPr baseColWidth="10" defaultColWidth="11.4609375" defaultRowHeight="12" x14ac:dyDescent="0.35"/>
  <cols>
    <col min="1" max="1" width="33.84375" style="25" customWidth="1"/>
    <col min="2" max="2" width="17.4609375" style="25" customWidth="1"/>
    <col min="3" max="3" width="10.15234375" style="25" customWidth="1"/>
    <col min="4" max="4" width="15.4609375" style="25" customWidth="1"/>
    <col min="5" max="5" width="12.53515625" style="25" customWidth="1"/>
    <col min="6" max="6" width="15.4609375" style="25" customWidth="1"/>
    <col min="7" max="7" width="10.15234375" style="25" customWidth="1"/>
    <col min="8" max="8" width="15.4609375" style="25" customWidth="1"/>
    <col min="9" max="9" width="12.53515625" style="25" customWidth="1"/>
    <col min="10" max="10" width="15.4609375" style="25" customWidth="1"/>
    <col min="11" max="11" width="10.15234375" style="25" customWidth="1"/>
    <col min="12" max="12" width="15.4609375" style="25" customWidth="1"/>
    <col min="13" max="13" width="12.53515625" style="25" customWidth="1"/>
    <col min="14" max="15" width="15.4609375" style="25" customWidth="1"/>
    <col min="16" max="17" width="11.53515625" style="25" customWidth="1"/>
    <col min="18" max="18" width="13.921875" style="25" customWidth="1"/>
    <col min="19" max="19" width="11.4609375" style="25" customWidth="1"/>
    <col min="20" max="20" width="11.53515625" style="25" customWidth="1"/>
    <col min="21" max="16384" width="11.4609375" style="25"/>
  </cols>
  <sheetData>
    <row r="1" spans="1:20" ht="20.6" x14ac:dyDescent="0.35">
      <c r="A1" s="221" t="s">
        <v>70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20" ht="15.9" x14ac:dyDescent="0.35">
      <c r="A2" s="232" t="s">
        <v>144</v>
      </c>
      <c r="B2" s="233"/>
      <c r="C2" s="107" t="s">
        <v>145</v>
      </c>
      <c r="D2" s="1"/>
      <c r="E2" s="1"/>
      <c r="F2" s="1"/>
      <c r="G2" s="1"/>
      <c r="H2" s="1"/>
      <c r="I2" s="1"/>
      <c r="J2" s="1"/>
    </row>
    <row r="4" spans="1:20" x14ac:dyDescent="0.35">
      <c r="A4" s="176"/>
      <c r="B4" s="176"/>
      <c r="C4" s="228">
        <v>2013</v>
      </c>
      <c r="D4" s="228"/>
      <c r="E4" s="228"/>
      <c r="F4" s="228"/>
      <c r="G4" s="230">
        <v>2014</v>
      </c>
      <c r="H4" s="230"/>
      <c r="I4" s="230"/>
      <c r="J4" s="230"/>
      <c r="K4" s="228">
        <v>2015</v>
      </c>
      <c r="L4" s="228"/>
      <c r="M4" s="228"/>
      <c r="N4" s="228"/>
      <c r="O4" s="176"/>
      <c r="P4" s="230">
        <v>2016</v>
      </c>
      <c r="Q4" s="230"/>
      <c r="R4" s="230"/>
      <c r="S4" s="230"/>
      <c r="T4" s="176"/>
    </row>
    <row r="5" spans="1:20" ht="48" x14ac:dyDescent="0.35">
      <c r="A5" s="176"/>
      <c r="B5" s="176"/>
      <c r="C5" s="27" t="s">
        <v>118</v>
      </c>
      <c r="D5" s="27" t="s">
        <v>117</v>
      </c>
      <c r="E5" s="27" t="s">
        <v>116</v>
      </c>
      <c r="F5" s="177" t="s">
        <v>115</v>
      </c>
      <c r="G5" s="27" t="s">
        <v>118</v>
      </c>
      <c r="H5" s="27" t="s">
        <v>117</v>
      </c>
      <c r="I5" s="27" t="s">
        <v>116</v>
      </c>
      <c r="J5" s="177" t="s">
        <v>115</v>
      </c>
      <c r="K5" s="27" t="s">
        <v>118</v>
      </c>
      <c r="L5" s="27" t="s">
        <v>117</v>
      </c>
      <c r="M5" s="27" t="s">
        <v>116</v>
      </c>
      <c r="N5" s="177" t="s">
        <v>115</v>
      </c>
      <c r="O5" s="178" t="s">
        <v>119</v>
      </c>
      <c r="P5" s="27" t="s">
        <v>118</v>
      </c>
      <c r="Q5" s="27" t="s">
        <v>117</v>
      </c>
      <c r="R5" s="27" t="s">
        <v>116</v>
      </c>
      <c r="S5" s="177" t="s">
        <v>115</v>
      </c>
      <c r="T5" s="178" t="s">
        <v>114</v>
      </c>
    </row>
    <row r="6" spans="1:20" ht="24" x14ac:dyDescent="0.35">
      <c r="A6" s="179" t="s">
        <v>113</v>
      </c>
      <c r="B6" s="176" t="s">
        <v>112</v>
      </c>
      <c r="C6" s="179" t="s">
        <v>111</v>
      </c>
      <c r="D6" s="180" t="s">
        <v>109</v>
      </c>
      <c r="E6" s="180" t="s">
        <v>110</v>
      </c>
      <c r="F6" s="180" t="s">
        <v>109</v>
      </c>
      <c r="G6" s="179" t="s">
        <v>111</v>
      </c>
      <c r="H6" s="180" t="s">
        <v>109</v>
      </c>
      <c r="I6" s="180" t="s">
        <v>110</v>
      </c>
      <c r="J6" s="180" t="s">
        <v>109</v>
      </c>
      <c r="K6" s="179" t="s">
        <v>111</v>
      </c>
      <c r="L6" s="180" t="s">
        <v>109</v>
      </c>
      <c r="M6" s="180" t="s">
        <v>110</v>
      </c>
      <c r="N6" s="180" t="s">
        <v>109</v>
      </c>
      <c r="O6" s="176"/>
      <c r="P6" s="179" t="s">
        <v>111</v>
      </c>
      <c r="Q6" s="180" t="s">
        <v>109</v>
      </c>
      <c r="R6" s="180" t="s">
        <v>110</v>
      </c>
      <c r="S6" s="180" t="s">
        <v>109</v>
      </c>
      <c r="T6" s="176"/>
    </row>
    <row r="7" spans="1:20" ht="16.5" customHeight="1" x14ac:dyDescent="0.35">
      <c r="A7" s="229" t="s">
        <v>108</v>
      </c>
      <c r="B7" s="176" t="s">
        <v>107</v>
      </c>
      <c r="C7" s="181">
        <v>16726</v>
      </c>
      <c r="D7" s="182">
        <v>42009</v>
      </c>
      <c r="E7" s="183">
        <f t="shared" ref="E7:E39" si="0">D7/C7</f>
        <v>2.5115987085973934</v>
      </c>
      <c r="F7" s="182">
        <v>3031</v>
      </c>
      <c r="G7" s="184">
        <v>16730.327949880757</v>
      </c>
      <c r="H7" s="182">
        <v>42189</v>
      </c>
      <c r="I7" s="185">
        <f t="shared" ref="I7:I38" si="1">H7/G7</f>
        <v>2.5217078903884067</v>
      </c>
      <c r="J7" s="182">
        <v>3339</v>
      </c>
      <c r="K7" s="184">
        <v>17046</v>
      </c>
      <c r="L7" s="155">
        <v>43043</v>
      </c>
      <c r="M7" s="185">
        <f t="shared" ref="M7:M39" si="2">L7/K7</f>
        <v>2.5251085298603777</v>
      </c>
      <c r="N7" s="186">
        <v>4677</v>
      </c>
      <c r="O7" s="187">
        <f t="shared" ref="O7:O38" si="3">(L7-H7)/H7</f>
        <v>2.0242243238758919E-2</v>
      </c>
      <c r="P7" s="184">
        <v>17046</v>
      </c>
      <c r="Q7" s="188">
        <v>42653</v>
      </c>
      <c r="R7" s="189">
        <f t="shared" ref="R7:R38" si="4">Q7/P7</f>
        <v>2.5022292619969493</v>
      </c>
      <c r="S7" s="190">
        <v>3661</v>
      </c>
      <c r="T7" s="187">
        <f t="shared" ref="T7:T39" si="5">(Q7-L7)/L7</f>
        <v>-9.060706735125339E-3</v>
      </c>
    </row>
    <row r="8" spans="1:20" x14ac:dyDescent="0.35">
      <c r="A8" s="229"/>
      <c r="B8" s="176" t="s">
        <v>106</v>
      </c>
      <c r="C8" s="181">
        <v>22478</v>
      </c>
      <c r="D8" s="182">
        <v>76259</v>
      </c>
      <c r="E8" s="183">
        <f t="shared" si="0"/>
        <v>3.392606103745885</v>
      </c>
      <c r="F8" s="182">
        <v>5263</v>
      </c>
      <c r="G8" s="184">
        <v>22483.716806504632</v>
      </c>
      <c r="H8" s="182">
        <v>78841</v>
      </c>
      <c r="I8" s="185">
        <f t="shared" si="1"/>
        <v>3.5065821491396374</v>
      </c>
      <c r="J8" s="182">
        <v>5198</v>
      </c>
      <c r="K8" s="184">
        <v>22456</v>
      </c>
      <c r="L8" s="155">
        <v>79771</v>
      </c>
      <c r="M8" s="185">
        <f t="shared" si="2"/>
        <v>3.5523245457784109</v>
      </c>
      <c r="N8" s="186">
        <v>5108</v>
      </c>
      <c r="O8" s="187">
        <f t="shared" si="3"/>
        <v>1.1795892999835111E-2</v>
      </c>
      <c r="P8" s="184">
        <v>22456</v>
      </c>
      <c r="Q8" s="188">
        <v>83417</v>
      </c>
      <c r="R8" s="189">
        <f t="shared" si="4"/>
        <v>3.7146864980406127</v>
      </c>
      <c r="S8" s="190">
        <v>5996</v>
      </c>
      <c r="T8" s="187">
        <f t="shared" si="5"/>
        <v>4.5705832946810243E-2</v>
      </c>
    </row>
    <row r="9" spans="1:20" x14ac:dyDescent="0.35">
      <c r="A9" s="229"/>
      <c r="B9" s="176" t="s">
        <v>105</v>
      </c>
      <c r="C9" s="181">
        <v>8002</v>
      </c>
      <c r="D9" s="182">
        <v>17565</v>
      </c>
      <c r="E9" s="183">
        <f t="shared" si="0"/>
        <v>2.1950762309422642</v>
      </c>
      <c r="F9" s="182">
        <v>1487</v>
      </c>
      <c r="G9" s="184">
        <v>8004.4546319522533</v>
      </c>
      <c r="H9" s="182">
        <v>17788</v>
      </c>
      <c r="I9" s="185">
        <f t="shared" si="1"/>
        <v>2.2222625797632363</v>
      </c>
      <c r="J9" s="182">
        <v>1657</v>
      </c>
      <c r="K9" s="184">
        <v>8057</v>
      </c>
      <c r="L9" s="155">
        <v>17646</v>
      </c>
      <c r="M9" s="185">
        <f t="shared" si="2"/>
        <v>2.1901452153406975</v>
      </c>
      <c r="N9" s="186">
        <v>1582</v>
      </c>
      <c r="O9" s="187">
        <f t="shared" si="3"/>
        <v>-7.9829098268495609E-3</v>
      </c>
      <c r="P9" s="184">
        <v>8057</v>
      </c>
      <c r="Q9" s="188">
        <v>18920</v>
      </c>
      <c r="R9" s="189">
        <f t="shared" si="4"/>
        <v>2.3482685863224524</v>
      </c>
      <c r="S9" s="190">
        <v>1861</v>
      </c>
      <c r="T9" s="187">
        <f t="shared" si="5"/>
        <v>7.2197665193244928E-2</v>
      </c>
    </row>
    <row r="10" spans="1:20" x14ac:dyDescent="0.35">
      <c r="A10" s="229"/>
      <c r="B10" s="176" t="s">
        <v>104</v>
      </c>
      <c r="C10" s="181">
        <v>5527</v>
      </c>
      <c r="D10" s="182">
        <v>14545</v>
      </c>
      <c r="E10" s="183">
        <f t="shared" si="0"/>
        <v>2.6316265605210782</v>
      </c>
      <c r="F10" s="182">
        <v>1838</v>
      </c>
      <c r="G10" s="184">
        <v>5528.8809667972364</v>
      </c>
      <c r="H10" s="182">
        <v>15368</v>
      </c>
      <c r="I10" s="185">
        <f t="shared" si="1"/>
        <v>2.7795859763105657</v>
      </c>
      <c r="J10" s="182">
        <v>1906</v>
      </c>
      <c r="K10" s="184">
        <v>5751</v>
      </c>
      <c r="L10" s="155">
        <v>15998</v>
      </c>
      <c r="M10" s="185">
        <f t="shared" si="2"/>
        <v>2.7817770822465659</v>
      </c>
      <c r="N10" s="186">
        <v>1715</v>
      </c>
      <c r="O10" s="187">
        <f t="shared" si="3"/>
        <v>4.0994273815720982E-2</v>
      </c>
      <c r="P10" s="184">
        <v>5751</v>
      </c>
      <c r="Q10" s="188">
        <v>16422</v>
      </c>
      <c r="R10" s="189">
        <f t="shared" si="4"/>
        <v>2.8555033907146585</v>
      </c>
      <c r="S10" s="190">
        <v>1909</v>
      </c>
      <c r="T10" s="187">
        <f t="shared" si="5"/>
        <v>2.6503312914114265E-2</v>
      </c>
    </row>
    <row r="11" spans="1:20" x14ac:dyDescent="0.35">
      <c r="A11" s="229"/>
      <c r="B11" s="176" t="s">
        <v>103</v>
      </c>
      <c r="C11" s="181">
        <v>4898</v>
      </c>
      <c r="D11" s="182">
        <v>9856</v>
      </c>
      <c r="E11" s="183">
        <f t="shared" si="0"/>
        <v>2.0122498979175174</v>
      </c>
      <c r="F11" s="182">
        <v>637</v>
      </c>
      <c r="G11" s="184">
        <v>4899.2610624389881</v>
      </c>
      <c r="H11" s="182">
        <v>9913</v>
      </c>
      <c r="I11" s="185">
        <f t="shared" si="1"/>
        <v>2.0233663553876906</v>
      </c>
      <c r="J11" s="182">
        <v>641</v>
      </c>
      <c r="K11" s="184">
        <v>5114</v>
      </c>
      <c r="L11" s="155">
        <v>10375</v>
      </c>
      <c r="M11" s="185">
        <f t="shared" si="2"/>
        <v>2.0287446226046146</v>
      </c>
      <c r="N11" s="186">
        <v>558</v>
      </c>
      <c r="O11" s="187">
        <f t="shared" si="3"/>
        <v>4.660546756784021E-2</v>
      </c>
      <c r="P11" s="184">
        <v>5114</v>
      </c>
      <c r="Q11" s="188">
        <v>10917</v>
      </c>
      <c r="R11" s="189">
        <f t="shared" si="4"/>
        <v>2.1347281971059835</v>
      </c>
      <c r="S11" s="190">
        <v>535</v>
      </c>
      <c r="T11" s="187">
        <f t="shared" si="5"/>
        <v>5.2240963855421686E-2</v>
      </c>
    </row>
    <row r="12" spans="1:20" x14ac:dyDescent="0.35">
      <c r="A12" s="231" t="s">
        <v>102</v>
      </c>
      <c r="B12" s="176" t="s">
        <v>101</v>
      </c>
      <c r="C12" s="176">
        <v>59166</v>
      </c>
      <c r="D12" s="182">
        <v>216686</v>
      </c>
      <c r="E12" s="183">
        <f t="shared" si="0"/>
        <v>3.6623398573505055</v>
      </c>
      <c r="F12" s="182">
        <v>33055</v>
      </c>
      <c r="G12" s="184">
        <v>59181.277571144361</v>
      </c>
      <c r="H12" s="182">
        <v>213999</v>
      </c>
      <c r="I12" s="185">
        <f t="shared" si="1"/>
        <v>3.6159915564976202</v>
      </c>
      <c r="J12" s="182">
        <v>32719</v>
      </c>
      <c r="K12" s="184">
        <v>57960</v>
      </c>
      <c r="L12" s="155">
        <v>4388</v>
      </c>
      <c r="M12" s="185">
        <f t="shared" si="2"/>
        <v>7.5707384403036579E-2</v>
      </c>
      <c r="N12" s="186">
        <v>31031</v>
      </c>
      <c r="O12" s="187">
        <f t="shared" si="3"/>
        <v>-0.97949523128612748</v>
      </c>
      <c r="P12" s="184">
        <v>57960</v>
      </c>
      <c r="Q12" s="188">
        <v>4396</v>
      </c>
      <c r="R12" s="189">
        <f t="shared" si="4"/>
        <v>7.5845410628019319E-2</v>
      </c>
      <c r="S12" s="190">
        <v>589</v>
      </c>
      <c r="T12" s="187">
        <f t="shared" si="5"/>
        <v>1.8231540565177757E-3</v>
      </c>
    </row>
    <row r="13" spans="1:20" x14ac:dyDescent="0.35">
      <c r="A13" s="231"/>
      <c r="B13" s="176" t="s">
        <v>100</v>
      </c>
      <c r="C13" s="176">
        <v>16024</v>
      </c>
      <c r="D13" s="182">
        <v>116696</v>
      </c>
      <c r="E13" s="183">
        <f t="shared" si="0"/>
        <v>7.2825761357963055</v>
      </c>
      <c r="F13" s="182">
        <v>33901</v>
      </c>
      <c r="G13" s="184">
        <v>16027.867707934311</v>
      </c>
      <c r="H13" s="182">
        <v>111860</v>
      </c>
      <c r="I13" s="185">
        <f t="shared" si="1"/>
        <v>6.9790942899176596</v>
      </c>
      <c r="J13" s="182">
        <v>31733</v>
      </c>
      <c r="K13" s="184">
        <v>15826</v>
      </c>
      <c r="L13" s="155">
        <v>213260</v>
      </c>
      <c r="M13" s="185">
        <f t="shared" si="2"/>
        <v>13.475293820295716</v>
      </c>
      <c r="N13" s="186">
        <v>31171</v>
      </c>
      <c r="O13" s="187">
        <f t="shared" si="3"/>
        <v>0.9064902556767388</v>
      </c>
      <c r="P13" s="184">
        <v>15826</v>
      </c>
      <c r="Q13" s="188">
        <v>222561</v>
      </c>
      <c r="R13" s="189">
        <f t="shared" si="4"/>
        <v>14.062997598887906</v>
      </c>
      <c r="S13" s="190">
        <v>20766</v>
      </c>
      <c r="T13" s="187">
        <f t="shared" si="5"/>
        <v>4.3613429616430645E-2</v>
      </c>
    </row>
    <row r="14" spans="1:20" x14ac:dyDescent="0.35">
      <c r="A14" s="231"/>
      <c r="B14" s="176" t="s">
        <v>99</v>
      </c>
      <c r="C14" s="176">
        <v>30127</v>
      </c>
      <c r="D14" s="182">
        <v>281716</v>
      </c>
      <c r="E14" s="183">
        <f t="shared" si="0"/>
        <v>9.3509476549274737</v>
      </c>
      <c r="F14" s="182">
        <v>16353</v>
      </c>
      <c r="G14" s="184">
        <v>30134.945691796311</v>
      </c>
      <c r="H14" s="182">
        <v>279959</v>
      </c>
      <c r="I14" s="185">
        <f t="shared" si="1"/>
        <v>9.2901776848469222</v>
      </c>
      <c r="J14" s="182">
        <v>16588</v>
      </c>
      <c r="K14" s="184">
        <v>30015</v>
      </c>
      <c r="L14" s="155">
        <v>112120</v>
      </c>
      <c r="M14" s="185">
        <f t="shared" si="2"/>
        <v>3.7354656005330669</v>
      </c>
      <c r="N14" s="186">
        <v>15349</v>
      </c>
      <c r="O14" s="187">
        <f t="shared" si="3"/>
        <v>-0.59951278580077794</v>
      </c>
      <c r="P14" s="184">
        <v>30015</v>
      </c>
      <c r="Q14" s="188">
        <v>117797</v>
      </c>
      <c r="R14" s="189">
        <f t="shared" si="4"/>
        <v>3.9246043644844244</v>
      </c>
      <c r="S14" s="190">
        <v>32756</v>
      </c>
      <c r="T14" s="187">
        <f t="shared" si="5"/>
        <v>5.0633250089190153E-2</v>
      </c>
    </row>
    <row r="15" spans="1:20" x14ac:dyDescent="0.35">
      <c r="A15" s="231" t="s">
        <v>98</v>
      </c>
      <c r="B15" s="176" t="s">
        <v>97</v>
      </c>
      <c r="C15" s="176">
        <v>14916</v>
      </c>
      <c r="D15" s="182">
        <v>61358</v>
      </c>
      <c r="E15" s="183">
        <f t="shared" si="0"/>
        <v>4.1135693215339231</v>
      </c>
      <c r="F15" s="182">
        <v>1733</v>
      </c>
      <c r="G15" s="184">
        <v>14920.295451456252</v>
      </c>
      <c r="H15" s="182">
        <v>61838</v>
      </c>
      <c r="I15" s="185">
        <f t="shared" si="1"/>
        <v>4.1445559976471165</v>
      </c>
      <c r="J15" s="182">
        <v>2386</v>
      </c>
      <c r="K15" s="184">
        <v>14780</v>
      </c>
      <c r="L15" s="155">
        <v>273749</v>
      </c>
      <c r="M15" s="185">
        <f t="shared" si="2"/>
        <v>18.521583220568335</v>
      </c>
      <c r="N15" s="186">
        <v>2713</v>
      </c>
      <c r="O15" s="187">
        <f t="shared" si="3"/>
        <v>3.4268734435136969</v>
      </c>
      <c r="P15" s="184">
        <v>14780</v>
      </c>
      <c r="Q15" s="188">
        <v>276312</v>
      </c>
      <c r="R15" s="189">
        <f t="shared" si="4"/>
        <v>18.694993234100135</v>
      </c>
      <c r="S15" s="190">
        <v>15964</v>
      </c>
      <c r="T15" s="187">
        <f t="shared" si="5"/>
        <v>9.3625912788722516E-3</v>
      </c>
    </row>
    <row r="16" spans="1:20" x14ac:dyDescent="0.35">
      <c r="A16" s="231"/>
      <c r="B16" s="176" t="s">
        <v>96</v>
      </c>
      <c r="C16" s="176">
        <v>24286</v>
      </c>
      <c r="D16" s="182">
        <v>69146</v>
      </c>
      <c r="E16" s="183">
        <f t="shared" si="0"/>
        <v>2.8471547393560077</v>
      </c>
      <c r="F16" s="182">
        <v>3540</v>
      </c>
      <c r="G16" s="184">
        <v>24292.751492085459</v>
      </c>
      <c r="H16" s="182">
        <v>68227</v>
      </c>
      <c r="I16" s="185">
        <f t="shared" si="1"/>
        <v>2.8085332376708441</v>
      </c>
      <c r="J16" s="182">
        <v>3411</v>
      </c>
      <c r="K16" s="184">
        <v>24653</v>
      </c>
      <c r="L16" s="155">
        <v>62310</v>
      </c>
      <c r="M16" s="185">
        <f t="shared" si="2"/>
        <v>2.5274814424208008</v>
      </c>
      <c r="N16" s="186">
        <v>3593</v>
      </c>
      <c r="O16" s="187">
        <f t="shared" si="3"/>
        <v>-8.6725196769607341E-2</v>
      </c>
      <c r="P16" s="184">
        <v>24653</v>
      </c>
      <c r="Q16" s="188">
        <v>65280</v>
      </c>
      <c r="R16" s="189">
        <f t="shared" si="4"/>
        <v>2.6479535959112481</v>
      </c>
      <c r="S16" s="190">
        <v>5508</v>
      </c>
      <c r="T16" s="187">
        <f t="shared" si="5"/>
        <v>4.7664901299951851E-2</v>
      </c>
    </row>
    <row r="17" spans="1:20" x14ac:dyDescent="0.35">
      <c r="A17" s="231"/>
      <c r="B17" s="176" t="s">
        <v>95</v>
      </c>
      <c r="C17" s="176">
        <v>26674</v>
      </c>
      <c r="D17" s="182">
        <v>114700</v>
      </c>
      <c r="E17" s="183">
        <f t="shared" si="0"/>
        <v>4.3000674814426034</v>
      </c>
      <c r="F17" s="182">
        <v>8548</v>
      </c>
      <c r="G17" s="184">
        <v>26680.517626997171</v>
      </c>
      <c r="H17" s="182">
        <v>115334</v>
      </c>
      <c r="I17" s="185">
        <f t="shared" si="1"/>
        <v>4.3227797006193454</v>
      </c>
      <c r="J17" s="182">
        <v>9312</v>
      </c>
      <c r="K17" s="184">
        <v>26900</v>
      </c>
      <c r="L17" s="155">
        <v>67462</v>
      </c>
      <c r="M17" s="185">
        <f t="shared" si="2"/>
        <v>2.5078810408921934</v>
      </c>
      <c r="N17" s="186">
        <v>8551</v>
      </c>
      <c r="O17" s="187">
        <f t="shared" si="3"/>
        <v>-0.41507274524424714</v>
      </c>
      <c r="P17" s="184">
        <v>26900</v>
      </c>
      <c r="Q17" s="188">
        <v>71587</v>
      </c>
      <c r="R17" s="189">
        <f t="shared" si="4"/>
        <v>2.6612267657992565</v>
      </c>
      <c r="S17" s="190">
        <v>4656</v>
      </c>
      <c r="T17" s="187">
        <f t="shared" si="5"/>
        <v>6.1145533781980968E-2</v>
      </c>
    </row>
    <row r="18" spans="1:20" x14ac:dyDescent="0.35">
      <c r="A18" s="231"/>
      <c r="B18" s="176" t="s">
        <v>94</v>
      </c>
      <c r="C18" s="176">
        <v>1550</v>
      </c>
      <c r="D18" s="182">
        <v>4141</v>
      </c>
      <c r="E18" s="183">
        <f t="shared" si="0"/>
        <v>2.6716129032258062</v>
      </c>
      <c r="F18" s="182">
        <v>406</v>
      </c>
      <c r="G18" s="184">
        <v>1550.6011590692847</v>
      </c>
      <c r="H18" s="182">
        <v>4461</v>
      </c>
      <c r="I18" s="185">
        <f t="shared" si="1"/>
        <v>2.8769487072211528</v>
      </c>
      <c r="J18" s="182">
        <v>421</v>
      </c>
      <c r="K18" s="184">
        <v>1510</v>
      </c>
      <c r="L18" s="155">
        <v>111972</v>
      </c>
      <c r="M18" s="185">
        <f t="shared" si="2"/>
        <v>74.153642384105964</v>
      </c>
      <c r="N18" s="186">
        <v>406</v>
      </c>
      <c r="O18" s="187">
        <f t="shared" si="3"/>
        <v>24.100201748486885</v>
      </c>
      <c r="P18" s="184">
        <v>1510</v>
      </c>
      <c r="Q18" s="188">
        <v>116884</v>
      </c>
      <c r="R18" s="189">
        <f t="shared" si="4"/>
        <v>77.406622516556297</v>
      </c>
      <c r="S18" s="190">
        <v>10689</v>
      </c>
      <c r="T18" s="187">
        <f t="shared" si="5"/>
        <v>4.3868109884614009E-2</v>
      </c>
    </row>
    <row r="19" spans="1:20" x14ac:dyDescent="0.35">
      <c r="A19" s="229" t="s">
        <v>93</v>
      </c>
      <c r="B19" s="176" t="s">
        <v>92</v>
      </c>
      <c r="C19" s="176">
        <v>20191</v>
      </c>
      <c r="D19" s="182">
        <v>52077</v>
      </c>
      <c r="E19" s="183">
        <f t="shared" si="0"/>
        <v>2.5792184636719329</v>
      </c>
      <c r="F19" s="182">
        <v>4142</v>
      </c>
      <c r="G19" s="184">
        <v>20196.729768803983</v>
      </c>
      <c r="H19" s="182">
        <v>52232</v>
      </c>
      <c r="I19" s="185">
        <f t="shared" si="1"/>
        <v>2.5861612547135193</v>
      </c>
      <c r="J19" s="182">
        <v>4616</v>
      </c>
      <c r="K19" s="184">
        <v>20144</v>
      </c>
      <c r="L19" s="155">
        <v>52768</v>
      </c>
      <c r="M19" s="185">
        <f t="shared" si="2"/>
        <v>2.6195393169181891</v>
      </c>
      <c r="N19" s="186">
        <v>4169</v>
      </c>
      <c r="O19" s="187">
        <f t="shared" si="3"/>
        <v>1.0261908408638382E-2</v>
      </c>
      <c r="P19" s="184">
        <v>20144</v>
      </c>
      <c r="Q19" s="188">
        <v>55582</v>
      </c>
      <c r="R19" s="189">
        <f t="shared" si="4"/>
        <v>2.7592335186656078</v>
      </c>
      <c r="S19" s="190">
        <v>4462</v>
      </c>
      <c r="T19" s="187">
        <f t="shared" si="5"/>
        <v>5.3327774408732563E-2</v>
      </c>
    </row>
    <row r="20" spans="1:20" x14ac:dyDescent="0.35">
      <c r="A20" s="229"/>
      <c r="B20" s="176" t="s">
        <v>91</v>
      </c>
      <c r="C20" s="176">
        <v>15448</v>
      </c>
      <c r="D20" s="182">
        <v>41197</v>
      </c>
      <c r="E20" s="183">
        <f t="shared" si="0"/>
        <v>2.666817711030554</v>
      </c>
      <c r="F20" s="182">
        <v>3579</v>
      </c>
      <c r="G20" s="184">
        <v>15452.129697134455</v>
      </c>
      <c r="H20" s="182">
        <v>41885</v>
      </c>
      <c r="I20" s="185">
        <f t="shared" si="1"/>
        <v>2.7106295909338267</v>
      </c>
      <c r="J20" s="182">
        <v>3466</v>
      </c>
      <c r="K20" s="184">
        <v>15897</v>
      </c>
      <c r="L20" s="155">
        <v>42638</v>
      </c>
      <c r="M20" s="185">
        <f t="shared" si="2"/>
        <v>2.6821412845190915</v>
      </c>
      <c r="N20" s="186">
        <v>3259</v>
      </c>
      <c r="O20" s="187">
        <f t="shared" si="3"/>
        <v>1.797779634714098E-2</v>
      </c>
      <c r="P20" s="184">
        <v>15897</v>
      </c>
      <c r="Q20" s="188">
        <v>45603</v>
      </c>
      <c r="R20" s="189">
        <f t="shared" si="4"/>
        <v>2.8686544631062465</v>
      </c>
      <c r="S20" s="190">
        <v>3774</v>
      </c>
      <c r="T20" s="187">
        <f t="shared" si="5"/>
        <v>6.9538908954453776E-2</v>
      </c>
    </row>
    <row r="21" spans="1:20" x14ac:dyDescent="0.35">
      <c r="A21" s="229"/>
      <c r="B21" s="176" t="s">
        <v>90</v>
      </c>
      <c r="C21" s="176">
        <v>4345</v>
      </c>
      <c r="D21" s="182">
        <v>17469</v>
      </c>
      <c r="E21" s="183">
        <f t="shared" si="0"/>
        <v>4.0204833141542</v>
      </c>
      <c r="F21" s="182">
        <v>951</v>
      </c>
      <c r="G21" s="184">
        <v>4346.472747043631</v>
      </c>
      <c r="H21" s="182">
        <v>16866</v>
      </c>
      <c r="I21" s="185">
        <f t="shared" si="1"/>
        <v>3.880387841260907</v>
      </c>
      <c r="J21" s="182">
        <v>1029</v>
      </c>
      <c r="K21" s="184">
        <v>4185</v>
      </c>
      <c r="L21" s="155">
        <v>17330</v>
      </c>
      <c r="M21" s="185">
        <f t="shared" si="2"/>
        <v>4.1409796893667865</v>
      </c>
      <c r="N21" s="186">
        <v>938</v>
      </c>
      <c r="O21" s="187">
        <f t="shared" si="3"/>
        <v>2.7510968812996563E-2</v>
      </c>
      <c r="P21" s="184">
        <v>4185</v>
      </c>
      <c r="Q21" s="188">
        <v>17569</v>
      </c>
      <c r="R21" s="189">
        <f t="shared" si="4"/>
        <v>4.1980884109916365</v>
      </c>
      <c r="S21" s="190">
        <v>928</v>
      </c>
      <c r="T21" s="187">
        <f t="shared" si="5"/>
        <v>1.3791113675706866E-2</v>
      </c>
    </row>
    <row r="22" spans="1:20" x14ac:dyDescent="0.35">
      <c r="A22" s="229"/>
      <c r="B22" s="176" t="s">
        <v>89</v>
      </c>
      <c r="C22" s="176">
        <v>6940</v>
      </c>
      <c r="D22" s="182">
        <v>15359</v>
      </c>
      <c r="E22" s="183">
        <f t="shared" si="0"/>
        <v>2.2131123919308355</v>
      </c>
      <c r="F22" s="182">
        <v>2023</v>
      </c>
      <c r="G22" s="184">
        <v>6941.7839534395189</v>
      </c>
      <c r="H22" s="182">
        <v>15551</v>
      </c>
      <c r="I22" s="185">
        <f t="shared" si="1"/>
        <v>2.2402022454609498</v>
      </c>
      <c r="J22" s="182">
        <v>2192</v>
      </c>
      <c r="K22" s="184">
        <v>6594</v>
      </c>
      <c r="L22" s="155">
        <v>16502</v>
      </c>
      <c r="M22" s="185">
        <f t="shared" si="2"/>
        <v>2.5025781013042159</v>
      </c>
      <c r="N22" s="186">
        <v>2104</v>
      </c>
      <c r="O22" s="187">
        <f t="shared" si="3"/>
        <v>6.1153623561185776E-2</v>
      </c>
      <c r="P22" s="184">
        <v>6594</v>
      </c>
      <c r="Q22" s="188">
        <v>17820</v>
      </c>
      <c r="R22" s="189">
        <f t="shared" si="4"/>
        <v>2.7024567788898999</v>
      </c>
      <c r="S22" s="190">
        <v>1859</v>
      </c>
      <c r="T22" s="187">
        <f t="shared" si="5"/>
        <v>7.9869106774936374E-2</v>
      </c>
    </row>
    <row r="23" spans="1:20" x14ac:dyDescent="0.35">
      <c r="A23" s="229"/>
      <c r="B23" s="176" t="s">
        <v>88</v>
      </c>
      <c r="C23" s="176">
        <v>8289</v>
      </c>
      <c r="D23" s="182">
        <v>18457</v>
      </c>
      <c r="E23" s="183">
        <f t="shared" si="0"/>
        <v>2.2266859693569789</v>
      </c>
      <c r="F23" s="182">
        <v>1128</v>
      </c>
      <c r="G23" s="184">
        <v>8290.82691808667</v>
      </c>
      <c r="H23" s="182">
        <v>18409</v>
      </c>
      <c r="I23" s="185">
        <f t="shared" si="1"/>
        <v>2.2204057788060023</v>
      </c>
      <c r="J23" s="182">
        <v>1179</v>
      </c>
      <c r="K23" s="184">
        <v>7845</v>
      </c>
      <c r="L23" s="155">
        <v>18258</v>
      </c>
      <c r="M23" s="185">
        <f t="shared" si="2"/>
        <v>2.3273422562141493</v>
      </c>
      <c r="N23" s="186">
        <v>1140</v>
      </c>
      <c r="O23" s="187">
        <f t="shared" si="3"/>
        <v>-8.2025096420229229E-3</v>
      </c>
      <c r="P23" s="184">
        <v>7845</v>
      </c>
      <c r="Q23" s="188">
        <v>18959</v>
      </c>
      <c r="R23" s="189">
        <f t="shared" si="4"/>
        <v>2.4166985340981517</v>
      </c>
      <c r="S23" s="190">
        <v>1637</v>
      </c>
      <c r="T23" s="187">
        <f t="shared" si="5"/>
        <v>3.8394128601161134E-2</v>
      </c>
    </row>
    <row r="24" spans="1:20" x14ac:dyDescent="0.35">
      <c r="A24" s="229"/>
      <c r="B24" s="176" t="s">
        <v>87</v>
      </c>
      <c r="C24" s="176">
        <v>23671</v>
      </c>
      <c r="D24" s="182">
        <v>69194</v>
      </c>
      <c r="E24" s="183">
        <f t="shared" si="0"/>
        <v>2.9231549152971992</v>
      </c>
      <c r="F24" s="182">
        <v>6303</v>
      </c>
      <c r="G24" s="184">
        <v>23677.100967538649</v>
      </c>
      <c r="H24" s="182">
        <v>69649</v>
      </c>
      <c r="I24" s="185">
        <f t="shared" si="1"/>
        <v>2.9416185746510486</v>
      </c>
      <c r="J24" s="182">
        <v>6673</v>
      </c>
      <c r="K24" s="184">
        <v>24039</v>
      </c>
      <c r="L24" s="155">
        <v>70627</v>
      </c>
      <c r="M24" s="185">
        <f t="shared" si="2"/>
        <v>2.9380173884104996</v>
      </c>
      <c r="N24" s="186">
        <v>6936</v>
      </c>
      <c r="O24" s="187">
        <f t="shared" si="3"/>
        <v>1.4041838360924062E-2</v>
      </c>
      <c r="P24" s="184">
        <v>24039</v>
      </c>
      <c r="Q24" s="188">
        <v>73258</v>
      </c>
      <c r="R24" s="189">
        <f t="shared" si="4"/>
        <v>3.0474645367943758</v>
      </c>
      <c r="S24" s="190">
        <v>7454</v>
      </c>
      <c r="T24" s="187">
        <f t="shared" si="5"/>
        <v>3.7252042420037663E-2</v>
      </c>
    </row>
    <row r="25" spans="1:20" x14ac:dyDescent="0.35">
      <c r="A25" s="229" t="s">
        <v>86</v>
      </c>
      <c r="B25" s="176" t="s">
        <v>85</v>
      </c>
      <c r="C25" s="176">
        <v>11701</v>
      </c>
      <c r="D25" s="182">
        <v>59992</v>
      </c>
      <c r="E25" s="183">
        <f t="shared" si="0"/>
        <v>5.1270831552858729</v>
      </c>
      <c r="F25" s="182">
        <v>19595</v>
      </c>
      <c r="G25" s="184">
        <v>11704.344656295179</v>
      </c>
      <c r="H25" s="182">
        <v>60629</v>
      </c>
      <c r="I25" s="185">
        <f t="shared" si="1"/>
        <v>5.1800422646808082</v>
      </c>
      <c r="J25" s="182">
        <v>18742</v>
      </c>
      <c r="K25" s="184">
        <v>11150</v>
      </c>
      <c r="L25" s="155">
        <v>60635</v>
      </c>
      <c r="M25" s="185">
        <f t="shared" si="2"/>
        <v>5.4381165919282513</v>
      </c>
      <c r="N25" s="186">
        <v>17270</v>
      </c>
      <c r="O25" s="187">
        <f t="shared" si="3"/>
        <v>9.8962542677596523E-5</v>
      </c>
      <c r="P25" s="184">
        <v>11150</v>
      </c>
      <c r="Q25" s="188">
        <v>59879</v>
      </c>
      <c r="R25" s="189">
        <f t="shared" si="4"/>
        <v>5.3703139013452912</v>
      </c>
      <c r="S25" s="190">
        <v>17911</v>
      </c>
      <c r="T25" s="187">
        <f t="shared" si="5"/>
        <v>-1.2468046507792529E-2</v>
      </c>
    </row>
    <row r="26" spans="1:20" x14ac:dyDescent="0.35">
      <c r="A26" s="229"/>
      <c r="B26" s="176" t="s">
        <v>84</v>
      </c>
      <c r="C26" s="176">
        <v>10479</v>
      </c>
      <c r="D26" s="182">
        <v>28294</v>
      </c>
      <c r="E26" s="183">
        <f t="shared" si="0"/>
        <v>2.700066800267201</v>
      </c>
      <c r="F26" s="182">
        <v>5311</v>
      </c>
      <c r="G26" s="184">
        <v>10482.023922794617</v>
      </c>
      <c r="H26" s="182">
        <v>27871</v>
      </c>
      <c r="I26" s="185">
        <f t="shared" si="1"/>
        <v>2.6589330653396659</v>
      </c>
      <c r="J26" s="182">
        <v>4678</v>
      </c>
      <c r="K26" s="184">
        <v>10443</v>
      </c>
      <c r="L26" s="155">
        <v>28705</v>
      </c>
      <c r="M26" s="185">
        <f t="shared" si="2"/>
        <v>2.7487312075074213</v>
      </c>
      <c r="N26" s="186">
        <v>4850</v>
      </c>
      <c r="O26" s="187">
        <f t="shared" si="3"/>
        <v>2.9923576477342041E-2</v>
      </c>
      <c r="P26" s="184">
        <v>10443</v>
      </c>
      <c r="Q26" s="188">
        <v>29649</v>
      </c>
      <c r="R26" s="189">
        <f t="shared" si="4"/>
        <v>2.83912668773341</v>
      </c>
      <c r="S26" s="190">
        <v>4934</v>
      </c>
      <c r="T26" s="187">
        <f t="shared" si="5"/>
        <v>3.2886256749695177E-2</v>
      </c>
    </row>
    <row r="27" spans="1:20" x14ac:dyDescent="0.35">
      <c r="A27" s="229"/>
      <c r="B27" s="176" t="s">
        <v>83</v>
      </c>
      <c r="C27" s="176">
        <v>5082</v>
      </c>
      <c r="D27" s="182">
        <v>16635</v>
      </c>
      <c r="E27" s="183">
        <f t="shared" si="0"/>
        <v>3.2733175914994095</v>
      </c>
      <c r="F27" s="182">
        <v>1104</v>
      </c>
      <c r="G27" s="184">
        <v>5082.8586256749904</v>
      </c>
      <c r="H27" s="182">
        <v>19816</v>
      </c>
      <c r="I27" s="185">
        <f t="shared" si="1"/>
        <v>3.8985935787990731</v>
      </c>
      <c r="J27" s="182">
        <v>1187</v>
      </c>
      <c r="K27" s="184">
        <v>5479</v>
      </c>
      <c r="L27" s="155">
        <v>17556</v>
      </c>
      <c r="M27" s="185">
        <f t="shared" si="2"/>
        <v>3.2042343493338201</v>
      </c>
      <c r="N27" s="186">
        <v>1345</v>
      </c>
      <c r="O27" s="187">
        <f t="shared" si="3"/>
        <v>-0.11404925312878482</v>
      </c>
      <c r="P27" s="184">
        <v>5479</v>
      </c>
      <c r="Q27" s="188">
        <v>18071</v>
      </c>
      <c r="R27" s="189">
        <f t="shared" si="4"/>
        <v>3.2982296039423251</v>
      </c>
      <c r="S27" s="190">
        <v>1236</v>
      </c>
      <c r="T27" s="187">
        <f t="shared" si="5"/>
        <v>2.9334700387331967E-2</v>
      </c>
    </row>
    <row r="28" spans="1:20" x14ac:dyDescent="0.35">
      <c r="A28" s="229"/>
      <c r="B28" s="176" t="s">
        <v>82</v>
      </c>
      <c r="C28" s="176">
        <v>7836</v>
      </c>
      <c r="D28" s="182">
        <v>23123</v>
      </c>
      <c r="E28" s="183">
        <f t="shared" si="0"/>
        <v>2.9508677896886168</v>
      </c>
      <c r="F28" s="182">
        <v>2427</v>
      </c>
      <c r="G28" s="184">
        <v>7837.8198870587075</v>
      </c>
      <c r="H28" s="182">
        <v>22371</v>
      </c>
      <c r="I28" s="185">
        <f t="shared" si="1"/>
        <v>2.8542375714626362</v>
      </c>
      <c r="J28" s="182">
        <v>2560</v>
      </c>
      <c r="K28" s="184">
        <v>7786</v>
      </c>
      <c r="L28" s="155">
        <v>23981</v>
      </c>
      <c r="M28" s="185">
        <f t="shared" si="2"/>
        <v>3.0800154122784487</v>
      </c>
      <c r="N28" s="186">
        <v>2610</v>
      </c>
      <c r="O28" s="187">
        <f t="shared" si="3"/>
        <v>7.1968173081221221E-2</v>
      </c>
      <c r="P28" s="184">
        <v>7786</v>
      </c>
      <c r="Q28" s="188">
        <v>24239</v>
      </c>
      <c r="R28" s="189">
        <f t="shared" si="4"/>
        <v>3.1131518109427176</v>
      </c>
      <c r="S28" s="190">
        <v>2827</v>
      </c>
      <c r="T28" s="187">
        <f t="shared" si="5"/>
        <v>1.0758517159417872E-2</v>
      </c>
    </row>
    <row r="29" spans="1:20" x14ac:dyDescent="0.35">
      <c r="A29" s="229"/>
      <c r="B29" s="176" t="s">
        <v>81</v>
      </c>
      <c r="C29" s="176">
        <v>8714</v>
      </c>
      <c r="D29" s="182">
        <v>18631</v>
      </c>
      <c r="E29" s="183">
        <f t="shared" si="0"/>
        <v>2.1380537066789076</v>
      </c>
      <c r="F29" s="182">
        <v>1798</v>
      </c>
      <c r="G29" s="184">
        <v>8715.8951894917664</v>
      </c>
      <c r="H29" s="182">
        <v>18379</v>
      </c>
      <c r="I29" s="185">
        <f t="shared" si="1"/>
        <v>2.1086761142055104</v>
      </c>
      <c r="J29" s="182">
        <v>1834</v>
      </c>
      <c r="K29" s="184">
        <v>8578</v>
      </c>
      <c r="L29" s="155">
        <v>18586</v>
      </c>
      <c r="M29" s="185">
        <f t="shared" si="2"/>
        <v>2.1667055257635814</v>
      </c>
      <c r="N29" s="186">
        <v>1589</v>
      </c>
      <c r="O29" s="187">
        <f t="shared" si="3"/>
        <v>1.1262854344632461E-2</v>
      </c>
      <c r="P29" s="184">
        <v>8578</v>
      </c>
      <c r="Q29" s="188">
        <v>19120</v>
      </c>
      <c r="R29" s="189">
        <f t="shared" si="4"/>
        <v>2.2289577990207508</v>
      </c>
      <c r="S29" s="190">
        <v>1902</v>
      </c>
      <c r="T29" s="187">
        <f t="shared" si="5"/>
        <v>2.8731303131389219E-2</v>
      </c>
    </row>
    <row r="30" spans="1:20" x14ac:dyDescent="0.35">
      <c r="A30" s="229"/>
      <c r="B30" s="176" t="s">
        <v>80</v>
      </c>
      <c r="C30" s="176">
        <v>1830</v>
      </c>
      <c r="D30" s="182">
        <v>3380</v>
      </c>
      <c r="E30" s="183">
        <f t="shared" si="0"/>
        <v>1.8469945355191257</v>
      </c>
      <c r="F30" s="182">
        <v>257</v>
      </c>
      <c r="G30" s="184">
        <v>1829.9887552979847</v>
      </c>
      <c r="H30" s="182">
        <v>3587</v>
      </c>
      <c r="I30" s="185">
        <f t="shared" si="1"/>
        <v>1.9601213338690235</v>
      </c>
      <c r="J30" s="182">
        <v>302</v>
      </c>
      <c r="K30" s="184">
        <v>1858</v>
      </c>
      <c r="L30" s="155">
        <v>3892</v>
      </c>
      <c r="M30" s="185">
        <f t="shared" si="2"/>
        <v>2.0947255113024759</v>
      </c>
      <c r="N30" s="186">
        <v>243</v>
      </c>
      <c r="O30" s="187">
        <f t="shared" si="3"/>
        <v>8.5029272372456097E-2</v>
      </c>
      <c r="P30" s="184">
        <v>1858</v>
      </c>
      <c r="Q30" s="188">
        <v>3064</v>
      </c>
      <c r="R30" s="189">
        <f t="shared" si="4"/>
        <v>1.6490850376749193</v>
      </c>
      <c r="S30" s="190">
        <v>235</v>
      </c>
      <c r="T30" s="187">
        <f t="shared" si="5"/>
        <v>-0.21274409044193218</v>
      </c>
    </row>
    <row r="31" spans="1:20" x14ac:dyDescent="0.35">
      <c r="A31" s="229"/>
      <c r="B31" s="176" t="s">
        <v>79</v>
      </c>
      <c r="C31" s="176">
        <v>7598</v>
      </c>
      <c r="D31" s="182">
        <v>14781</v>
      </c>
      <c r="E31" s="183">
        <f t="shared" si="0"/>
        <v>1.9453803632534878</v>
      </c>
      <c r="F31" s="182">
        <v>1076</v>
      </c>
      <c r="G31" s="184">
        <v>7600.3404302643121</v>
      </c>
      <c r="H31" s="182">
        <v>14959</v>
      </c>
      <c r="I31" s="185">
        <f t="shared" si="1"/>
        <v>1.9682013111457142</v>
      </c>
      <c r="J31" s="182">
        <v>1009</v>
      </c>
      <c r="K31" s="184">
        <v>7425</v>
      </c>
      <c r="L31" s="155">
        <v>14859</v>
      </c>
      <c r="M31" s="185">
        <f t="shared" si="2"/>
        <v>2.001212121212121</v>
      </c>
      <c r="N31" s="186">
        <v>893</v>
      </c>
      <c r="O31" s="187">
        <f t="shared" si="3"/>
        <v>-6.6849388328096794E-3</v>
      </c>
      <c r="P31" s="184">
        <v>7425</v>
      </c>
      <c r="Q31" s="188">
        <v>15297</v>
      </c>
      <c r="R31" s="189">
        <f t="shared" si="4"/>
        <v>2.0602020202020204</v>
      </c>
      <c r="S31" s="190">
        <v>1205</v>
      </c>
      <c r="T31" s="187">
        <f t="shared" si="5"/>
        <v>2.9477084595194832E-2</v>
      </c>
    </row>
    <row r="32" spans="1:20" x14ac:dyDescent="0.35">
      <c r="A32" s="229"/>
      <c r="B32" s="176" t="s">
        <v>78</v>
      </c>
      <c r="C32" s="176">
        <v>7495</v>
      </c>
      <c r="D32" s="182">
        <v>18676</v>
      </c>
      <c r="E32" s="183">
        <f t="shared" si="0"/>
        <v>2.4917945296864574</v>
      </c>
      <c r="F32" s="182">
        <v>2489</v>
      </c>
      <c r="G32" s="184">
        <v>7496.5678945222235</v>
      </c>
      <c r="H32" s="182">
        <v>18447</v>
      </c>
      <c r="I32" s="185">
        <f t="shared" si="1"/>
        <v>2.4607260628532837</v>
      </c>
      <c r="J32" s="182">
        <v>2554</v>
      </c>
      <c r="K32" s="184">
        <v>7446</v>
      </c>
      <c r="L32" s="155">
        <v>18374</v>
      </c>
      <c r="M32" s="185">
        <f t="shared" si="2"/>
        <v>2.4676336287939833</v>
      </c>
      <c r="N32" s="186">
        <v>2288</v>
      </c>
      <c r="O32" s="187">
        <f t="shared" si="3"/>
        <v>-3.9572830270504693E-3</v>
      </c>
      <c r="P32" s="184">
        <v>7446</v>
      </c>
      <c r="Q32" s="188">
        <v>18723</v>
      </c>
      <c r="R32" s="189">
        <f t="shared" si="4"/>
        <v>2.5145044319097503</v>
      </c>
      <c r="S32" s="190">
        <v>2443</v>
      </c>
      <c r="T32" s="187">
        <f t="shared" si="5"/>
        <v>1.8994230978556657E-2</v>
      </c>
    </row>
    <row r="33" spans="1:20" x14ac:dyDescent="0.35">
      <c r="A33" s="229"/>
      <c r="B33" s="176" t="s">
        <v>77</v>
      </c>
      <c r="C33" s="176">
        <v>19400</v>
      </c>
      <c r="D33" s="182">
        <v>42201</v>
      </c>
      <c r="E33" s="183">
        <f t="shared" si="0"/>
        <v>2.1753092783505155</v>
      </c>
      <c r="F33" s="182">
        <v>3986</v>
      </c>
      <c r="G33" s="184">
        <v>19405.464183770557</v>
      </c>
      <c r="H33" s="182">
        <v>42594</v>
      </c>
      <c r="I33" s="185">
        <f t="shared" si="1"/>
        <v>2.1949487833237606</v>
      </c>
      <c r="J33" s="182">
        <v>4169</v>
      </c>
      <c r="K33" s="184">
        <v>19201</v>
      </c>
      <c r="L33" s="155">
        <v>43935</v>
      </c>
      <c r="M33" s="185">
        <f t="shared" si="2"/>
        <v>2.2881620748919329</v>
      </c>
      <c r="N33" s="186">
        <v>5362</v>
      </c>
      <c r="O33" s="187">
        <f t="shared" si="3"/>
        <v>3.1483307508099731E-2</v>
      </c>
      <c r="P33" s="184">
        <v>19201</v>
      </c>
      <c r="Q33" s="188">
        <v>45745</v>
      </c>
      <c r="R33" s="189">
        <f t="shared" si="4"/>
        <v>2.3824279985417425</v>
      </c>
      <c r="S33" s="190">
        <v>5826</v>
      </c>
      <c r="T33" s="187">
        <f t="shared" si="5"/>
        <v>4.119722317059292E-2</v>
      </c>
    </row>
    <row r="34" spans="1:20" x14ac:dyDescent="0.35">
      <c r="A34" s="229"/>
      <c r="B34" s="176" t="s">
        <v>76</v>
      </c>
      <c r="C34" s="176">
        <v>1099</v>
      </c>
      <c r="D34" s="182">
        <v>2092</v>
      </c>
      <c r="E34" s="183">
        <f t="shared" si="0"/>
        <v>1.9035486806187443</v>
      </c>
      <c r="F34" s="182">
        <v>213</v>
      </c>
      <c r="G34" s="184">
        <v>1099.5897537286692</v>
      </c>
      <c r="H34" s="182">
        <v>2028</v>
      </c>
      <c r="I34" s="185">
        <f t="shared" si="1"/>
        <v>1.8443242064807581</v>
      </c>
      <c r="J34" s="182">
        <v>210</v>
      </c>
      <c r="K34" s="184">
        <v>1093</v>
      </c>
      <c r="L34" s="155">
        <v>2078</v>
      </c>
      <c r="M34" s="185">
        <f t="shared" si="2"/>
        <v>1.9011893870082341</v>
      </c>
      <c r="N34" s="186">
        <v>200</v>
      </c>
      <c r="O34" s="187">
        <f t="shared" si="3"/>
        <v>2.465483234714004E-2</v>
      </c>
      <c r="P34" s="184">
        <v>1093</v>
      </c>
      <c r="Q34" s="188">
        <v>2298</v>
      </c>
      <c r="R34" s="189">
        <f t="shared" si="4"/>
        <v>2.102470265324794</v>
      </c>
      <c r="S34" s="190">
        <v>236</v>
      </c>
      <c r="T34" s="187">
        <f t="shared" si="5"/>
        <v>0.10587102983638114</v>
      </c>
    </row>
    <row r="35" spans="1:20" x14ac:dyDescent="0.35">
      <c r="A35" s="229"/>
      <c r="B35" s="176" t="s">
        <v>75</v>
      </c>
      <c r="C35" s="176">
        <v>1776</v>
      </c>
      <c r="D35" s="182">
        <v>7012</v>
      </c>
      <c r="E35" s="183">
        <f t="shared" si="0"/>
        <v>3.9481981981981984</v>
      </c>
      <c r="F35" s="182">
        <v>354</v>
      </c>
      <c r="G35" s="184">
        <v>1776.1068617395927</v>
      </c>
      <c r="H35" s="182">
        <v>7067</v>
      </c>
      <c r="I35" s="185">
        <f t="shared" si="1"/>
        <v>3.9789272550179144</v>
      </c>
      <c r="J35" s="182">
        <v>349</v>
      </c>
      <c r="K35" s="184">
        <v>1715</v>
      </c>
      <c r="L35" s="155">
        <v>6940</v>
      </c>
      <c r="M35" s="185">
        <f t="shared" si="2"/>
        <v>4.0466472303206995</v>
      </c>
      <c r="N35" s="186">
        <v>381</v>
      </c>
      <c r="O35" s="187">
        <f t="shared" si="3"/>
        <v>-1.7970850431583415E-2</v>
      </c>
      <c r="P35" s="184">
        <v>1715</v>
      </c>
      <c r="Q35" s="188">
        <v>7683</v>
      </c>
      <c r="R35" s="189">
        <f t="shared" si="4"/>
        <v>4.4798833819241981</v>
      </c>
      <c r="S35" s="190">
        <v>538</v>
      </c>
      <c r="T35" s="187">
        <f t="shared" si="5"/>
        <v>0.10706051873198848</v>
      </c>
    </row>
    <row r="36" spans="1:20" x14ac:dyDescent="0.35">
      <c r="A36" s="229" t="s">
        <v>74</v>
      </c>
      <c r="B36" s="176" t="s">
        <v>73</v>
      </c>
      <c r="C36" s="176">
        <v>2576</v>
      </c>
      <c r="D36" s="182">
        <v>5877</v>
      </c>
      <c r="E36" s="183">
        <f t="shared" si="0"/>
        <v>2.281444099378882</v>
      </c>
      <c r="F36" s="182">
        <v>635</v>
      </c>
      <c r="G36" s="184">
        <v>2576.352762366083</v>
      </c>
      <c r="H36" s="182">
        <v>6343</v>
      </c>
      <c r="I36" s="185">
        <f t="shared" si="1"/>
        <v>2.4620075684723726</v>
      </c>
      <c r="J36" s="182">
        <v>678</v>
      </c>
      <c r="K36" s="184">
        <v>2488</v>
      </c>
      <c r="L36" s="188">
        <v>6291</v>
      </c>
      <c r="M36" s="185">
        <f t="shared" si="2"/>
        <v>2.5285369774919615</v>
      </c>
      <c r="N36" s="186">
        <v>494</v>
      </c>
      <c r="O36" s="187">
        <f t="shared" si="3"/>
        <v>-8.1980135582531925E-3</v>
      </c>
      <c r="P36" s="184">
        <v>2488</v>
      </c>
      <c r="Q36" s="188">
        <v>7957</v>
      </c>
      <c r="R36" s="189">
        <f t="shared" si="4"/>
        <v>3.1981511254019295</v>
      </c>
      <c r="S36" s="190">
        <v>736</v>
      </c>
      <c r="T36" s="187">
        <f t="shared" si="5"/>
        <v>0.26482276267683991</v>
      </c>
    </row>
    <row r="37" spans="1:20" x14ac:dyDescent="0.35">
      <c r="A37" s="229"/>
      <c r="B37" s="176" t="s">
        <v>72</v>
      </c>
      <c r="C37" s="176">
        <v>3344</v>
      </c>
      <c r="D37" s="182">
        <v>8548</v>
      </c>
      <c r="E37" s="183">
        <f t="shared" si="0"/>
        <v>2.5562200956937797</v>
      </c>
      <c r="F37" s="182">
        <v>659</v>
      </c>
      <c r="G37" s="184">
        <v>3344.6686519950076</v>
      </c>
      <c r="H37" s="182">
        <v>8781</v>
      </c>
      <c r="I37" s="185">
        <f t="shared" si="1"/>
        <v>2.6253721709510334</v>
      </c>
      <c r="J37" s="182">
        <v>663</v>
      </c>
      <c r="K37" s="184">
        <v>3309</v>
      </c>
      <c r="L37" s="155">
        <v>9077</v>
      </c>
      <c r="M37" s="185">
        <f t="shared" si="2"/>
        <v>2.7431248111211848</v>
      </c>
      <c r="N37" s="186">
        <v>646</v>
      </c>
      <c r="O37" s="187">
        <f t="shared" si="3"/>
        <v>3.3709144744334361E-2</v>
      </c>
      <c r="P37" s="184">
        <v>3309</v>
      </c>
      <c r="Q37" s="188">
        <v>9050</v>
      </c>
      <c r="R37" s="189">
        <f t="shared" si="4"/>
        <v>2.7349652462979752</v>
      </c>
      <c r="S37" s="190">
        <v>692</v>
      </c>
      <c r="T37" s="187">
        <f t="shared" si="5"/>
        <v>-2.9745510631265836E-3</v>
      </c>
    </row>
    <row r="38" spans="1:20" x14ac:dyDescent="0.35">
      <c r="A38" s="229"/>
      <c r="B38" s="176" t="s">
        <v>71</v>
      </c>
      <c r="C38" s="176">
        <v>5457</v>
      </c>
      <c r="D38" s="182">
        <v>19118</v>
      </c>
      <c r="E38" s="183">
        <f t="shared" si="0"/>
        <v>3.50339014110317</v>
      </c>
      <c r="F38" s="182">
        <v>2828</v>
      </c>
      <c r="G38" s="184">
        <v>5458.0362548963885</v>
      </c>
      <c r="H38" s="182">
        <v>18268</v>
      </c>
      <c r="I38" s="185">
        <f t="shared" si="1"/>
        <v>3.3469913256094315</v>
      </c>
      <c r="J38" s="182">
        <v>2674</v>
      </c>
      <c r="K38" s="184">
        <v>5376</v>
      </c>
      <c r="L38" s="155">
        <v>18553</v>
      </c>
      <c r="M38" s="185">
        <f t="shared" si="2"/>
        <v>3.4510788690476191</v>
      </c>
      <c r="N38" s="186">
        <v>2221</v>
      </c>
      <c r="O38" s="187">
        <f t="shared" si="3"/>
        <v>1.5601051018173856E-2</v>
      </c>
      <c r="P38" s="184">
        <v>5376</v>
      </c>
      <c r="Q38" s="188">
        <v>19384</v>
      </c>
      <c r="R38" s="189">
        <f t="shared" si="4"/>
        <v>3.6056547619047619</v>
      </c>
      <c r="S38" s="190">
        <v>2696</v>
      </c>
      <c r="T38" s="187">
        <f t="shared" si="5"/>
        <v>4.4790599902980649E-2</v>
      </c>
    </row>
    <row r="39" spans="1:20" x14ac:dyDescent="0.35">
      <c r="A39" s="191" t="s">
        <v>5</v>
      </c>
      <c r="B39" s="191"/>
      <c r="C39" s="191">
        <f>SUM(C7:C38)</f>
        <v>403645</v>
      </c>
      <c r="D39" s="191">
        <f>SUM(D7:D38)</f>
        <v>1506790</v>
      </c>
      <c r="E39" s="192">
        <f t="shared" si="0"/>
        <v>3.7329584164302791</v>
      </c>
      <c r="F39" s="191">
        <f>SUM(F7:F38)</f>
        <v>170650</v>
      </c>
      <c r="G39" s="191">
        <f>SUM(G7:G38)</f>
        <v>403749.99999999983</v>
      </c>
      <c r="H39" s="191">
        <f>SUM(H7:H38)</f>
        <v>1505509</v>
      </c>
      <c r="I39" s="193">
        <f>variation13/G39</f>
        <v>3.728814860681116</v>
      </c>
      <c r="J39" s="191">
        <f>SUM(J7:J38)</f>
        <v>170075</v>
      </c>
      <c r="K39" s="191">
        <f>SUM(K7:K38)</f>
        <v>402119</v>
      </c>
      <c r="L39" s="194">
        <f>SUM(L7:L38)</f>
        <v>1503679</v>
      </c>
      <c r="M39" s="193">
        <f t="shared" si="2"/>
        <v>3.7393880915848294</v>
      </c>
      <c r="N39" s="191">
        <f>SUM(N7:N38)</f>
        <v>165392</v>
      </c>
      <c r="O39" s="195">
        <f>AVERAGE(O7:O38)</f>
        <v>0.83562590367744749</v>
      </c>
      <c r="P39" s="191">
        <f>SUM(P7:P38)</f>
        <v>402119</v>
      </c>
      <c r="Q39" s="194">
        <f>SUM(Q7:Q38)</f>
        <v>1556096</v>
      </c>
      <c r="R39" s="196">
        <f>(Q39/P39)</f>
        <v>3.8697400520741372</v>
      </c>
      <c r="S39" s="197">
        <f>SUM(S7:S38)</f>
        <v>168421</v>
      </c>
      <c r="T39" s="198">
        <f t="shared" si="5"/>
        <v>3.4859168745456977E-2</v>
      </c>
    </row>
    <row r="40" spans="1:20" x14ac:dyDescent="0.35">
      <c r="N40" s="26"/>
    </row>
    <row r="42" spans="1:20" ht="14.6" x14ac:dyDescent="0.4">
      <c r="A42"/>
      <c r="B42"/>
      <c r="C42"/>
      <c r="D42"/>
      <c r="E42"/>
      <c r="F42"/>
    </row>
    <row r="43" spans="1:20" ht="28.5" customHeight="1" x14ac:dyDescent="0.4">
      <c r="A43" t="s">
        <v>150</v>
      </c>
      <c r="B43"/>
      <c r="C43"/>
      <c r="D43"/>
      <c r="E43"/>
      <c r="F43"/>
    </row>
    <row r="44" spans="1:20" ht="14.6" x14ac:dyDescent="0.4">
      <c r="A44"/>
      <c r="B44"/>
      <c r="C44"/>
      <c r="D44"/>
      <c r="E44"/>
      <c r="F44"/>
    </row>
    <row r="45" spans="1:20" ht="14.6" x14ac:dyDescent="0.4">
      <c r="A45"/>
      <c r="B45"/>
      <c r="C45"/>
      <c r="D45"/>
      <c r="E45"/>
      <c r="F45"/>
    </row>
    <row r="46" spans="1:20" ht="14.6" x14ac:dyDescent="0.4">
      <c r="A46"/>
      <c r="B46"/>
      <c r="C46"/>
      <c r="D46"/>
      <c r="E46"/>
      <c r="F46"/>
    </row>
    <row r="47" spans="1:20" ht="14.6" x14ac:dyDescent="0.4">
      <c r="A47"/>
      <c r="B47"/>
      <c r="C47"/>
      <c r="D47"/>
      <c r="E47"/>
      <c r="F47"/>
    </row>
    <row r="48" spans="1:20" ht="14.6" x14ac:dyDescent="0.4">
      <c r="A48"/>
      <c r="B48"/>
      <c r="C48"/>
      <c r="D48"/>
      <c r="E48"/>
      <c r="F48"/>
    </row>
    <row r="49" spans="1:6" ht="14.6" x14ac:dyDescent="0.4">
      <c r="A49"/>
      <c r="B49"/>
      <c r="C49"/>
      <c r="D49"/>
      <c r="E49"/>
      <c r="F49"/>
    </row>
    <row r="50" spans="1:6" ht="14.6" x14ac:dyDescent="0.4">
      <c r="A50"/>
      <c r="B50"/>
      <c r="C50"/>
      <c r="D50"/>
      <c r="E50"/>
      <c r="F50"/>
    </row>
    <row r="51" spans="1:6" ht="14.6" x14ac:dyDescent="0.4">
      <c r="A51"/>
      <c r="B51"/>
      <c r="C51"/>
      <c r="D51"/>
      <c r="E51"/>
      <c r="F51"/>
    </row>
    <row r="52" spans="1:6" ht="14.6" x14ac:dyDescent="0.4">
      <c r="A52"/>
      <c r="B52"/>
      <c r="C52"/>
      <c r="D52"/>
      <c r="E52"/>
      <c r="F52"/>
    </row>
    <row r="53" spans="1:6" ht="14.6" x14ac:dyDescent="0.4">
      <c r="A53"/>
      <c r="B53"/>
      <c r="C53"/>
      <c r="D53"/>
      <c r="E53"/>
      <c r="F53"/>
    </row>
    <row r="54" spans="1:6" ht="14.6" x14ac:dyDescent="0.4">
      <c r="A54"/>
      <c r="B54"/>
      <c r="C54"/>
      <c r="D54"/>
      <c r="E54"/>
      <c r="F54"/>
    </row>
    <row r="55" spans="1:6" ht="14.6" x14ac:dyDescent="0.4">
      <c r="A55"/>
      <c r="B55"/>
      <c r="C55"/>
      <c r="D55"/>
      <c r="E55"/>
      <c r="F55"/>
    </row>
    <row r="56" spans="1:6" ht="14.6" x14ac:dyDescent="0.4">
      <c r="A56"/>
      <c r="B56"/>
      <c r="C56"/>
      <c r="D56"/>
      <c r="E56"/>
      <c r="F56"/>
    </row>
  </sheetData>
  <mergeCells count="12">
    <mergeCell ref="A1:J1"/>
    <mergeCell ref="A2:B2"/>
    <mergeCell ref="K4:N4"/>
    <mergeCell ref="A25:A35"/>
    <mergeCell ref="A36:A38"/>
    <mergeCell ref="A19:A24"/>
    <mergeCell ref="P4:S4"/>
    <mergeCell ref="G4:J4"/>
    <mergeCell ref="A7:A11"/>
    <mergeCell ref="A15:A18"/>
    <mergeCell ref="A12:A14"/>
    <mergeCell ref="C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tabSelected="1" topLeftCell="A19" workbookViewId="0">
      <selection activeCell="A30" sqref="A30:D30"/>
    </sheetView>
  </sheetViews>
  <sheetFormatPr baseColWidth="10" defaultColWidth="11.4609375" defaultRowHeight="14.6" x14ac:dyDescent="0.4"/>
  <cols>
    <col min="1" max="1" width="37.3046875" style="13" customWidth="1"/>
    <col min="2" max="10" width="12.61328125" style="13" customWidth="1"/>
    <col min="11" max="16384" width="11.4609375" style="13"/>
  </cols>
  <sheetData>
    <row r="1" spans="1:11" ht="20.6" x14ac:dyDescent="0.4">
      <c r="A1" s="221" t="s">
        <v>70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1" x14ac:dyDescent="0.4">
      <c r="A2" s="223" t="s">
        <v>147</v>
      </c>
      <c r="B2" s="224"/>
      <c r="C2" s="107" t="s">
        <v>146</v>
      </c>
      <c r="D2" s="1"/>
      <c r="E2" s="1"/>
      <c r="F2" s="1"/>
      <c r="G2" s="1"/>
      <c r="H2" s="1"/>
      <c r="I2" s="1"/>
      <c r="J2" s="1"/>
    </row>
    <row r="3" spans="1:11" x14ac:dyDescent="0.4">
      <c r="A3" s="13" t="s">
        <v>149</v>
      </c>
    </row>
    <row r="4" spans="1:11" x14ac:dyDescent="0.4">
      <c r="A4" s="204" t="s">
        <v>124</v>
      </c>
      <c r="B4" s="16">
        <v>2008</v>
      </c>
      <c r="C4" s="16">
        <v>2009</v>
      </c>
      <c r="D4" s="16">
        <v>2010</v>
      </c>
      <c r="E4" s="16">
        <v>2011</v>
      </c>
      <c r="F4" s="16">
        <v>2012</v>
      </c>
      <c r="G4" s="16">
        <v>2013</v>
      </c>
      <c r="H4" s="16">
        <v>2014</v>
      </c>
      <c r="I4" s="16">
        <v>2015</v>
      </c>
      <c r="J4" s="16">
        <v>2016</v>
      </c>
      <c r="K4" s="14"/>
    </row>
    <row r="5" spans="1:11" x14ac:dyDescent="0.4">
      <c r="A5" s="48" t="s">
        <v>123</v>
      </c>
      <c r="B5" s="73">
        <v>96946.421999999991</v>
      </c>
      <c r="C5" s="73">
        <v>91710.115999999995</v>
      </c>
      <c r="D5" s="73">
        <v>92526.786000000007</v>
      </c>
      <c r="E5" s="73">
        <v>87418.202000000005</v>
      </c>
      <c r="F5" s="73">
        <v>85159.959999999992</v>
      </c>
      <c r="G5" s="73">
        <v>83376.819000000003</v>
      </c>
      <c r="H5" s="73">
        <v>80080.600000000006</v>
      </c>
      <c r="I5" s="73">
        <f>'[2]Données (T et tep)'!I21</f>
        <v>83152</v>
      </c>
      <c r="J5" s="73">
        <f>'[2]Données (T et tep)'!J21</f>
        <v>89563.199999999997</v>
      </c>
      <c r="K5" s="14"/>
    </row>
    <row r="6" spans="1:11" x14ac:dyDescent="0.4">
      <c r="A6" s="48" t="s">
        <v>122</v>
      </c>
      <c r="B6" s="73">
        <v>162983.14399999997</v>
      </c>
      <c r="C6" s="73">
        <v>161198.19200000004</v>
      </c>
      <c r="D6" s="73">
        <v>170813.18700000001</v>
      </c>
      <c r="E6" s="73">
        <v>172790.334</v>
      </c>
      <c r="F6" s="73">
        <v>175741.23199999999</v>
      </c>
      <c r="G6" s="73">
        <v>174720.15</v>
      </c>
      <c r="H6" s="73">
        <v>171987.5</v>
      </c>
      <c r="I6" s="73">
        <f>'[2]Données (T et tep)'!I22</f>
        <v>180588</v>
      </c>
      <c r="J6" s="73">
        <f>'[2]Données (T et tep)'!J22</f>
        <v>182785.22399999999</v>
      </c>
    </row>
    <row r="7" spans="1:11" x14ac:dyDescent="0.4">
      <c r="A7" s="199" t="s">
        <v>37</v>
      </c>
      <c r="B7" s="200">
        <f>SUM(B5:B6)</f>
        <v>259929.56599999996</v>
      </c>
      <c r="C7" s="200">
        <f t="shared" ref="C7:J7" si="0">SUM(C5:C6)</f>
        <v>252908.30800000002</v>
      </c>
      <c r="D7" s="200">
        <f t="shared" si="0"/>
        <v>263339.973</v>
      </c>
      <c r="E7" s="200">
        <f t="shared" si="0"/>
        <v>260208.53600000002</v>
      </c>
      <c r="F7" s="200">
        <f t="shared" si="0"/>
        <v>260901.19199999998</v>
      </c>
      <c r="G7" s="200">
        <f t="shared" si="0"/>
        <v>258096.96899999998</v>
      </c>
      <c r="H7" s="200">
        <f t="shared" si="0"/>
        <v>252068.1</v>
      </c>
      <c r="I7" s="200">
        <f t="shared" si="0"/>
        <v>263740</v>
      </c>
      <c r="J7" s="200">
        <f t="shared" si="0"/>
        <v>272348.424</v>
      </c>
    </row>
    <row r="8" spans="1:11" x14ac:dyDescent="0.4">
      <c r="A8" s="202" t="s">
        <v>131</v>
      </c>
      <c r="B8" s="203"/>
      <c r="C8" s="201">
        <f>(C7-B7)/B7</f>
        <v>-2.7012156054613441E-2</v>
      </c>
      <c r="D8" s="201">
        <f t="shared" ref="D8:J8" si="1">(D7-C7)/C7</f>
        <v>4.1246826102683737E-2</v>
      </c>
      <c r="E8" s="201">
        <f t="shared" si="1"/>
        <v>-1.1891233086744397E-2</v>
      </c>
      <c r="F8" s="201">
        <f t="shared" si="1"/>
        <v>2.6619265095898276E-3</v>
      </c>
      <c r="G8" s="201">
        <f t="shared" si="1"/>
        <v>-1.0748218428990536E-2</v>
      </c>
      <c r="H8" s="201">
        <f t="shared" si="1"/>
        <v>-2.3358929875693261E-2</v>
      </c>
      <c r="I8" s="201">
        <f t="shared" si="1"/>
        <v>4.6304550238606128E-2</v>
      </c>
      <c r="J8" s="201">
        <f t="shared" si="1"/>
        <v>3.2639811935997569E-2</v>
      </c>
    </row>
    <row r="9" spans="1:11" x14ac:dyDescent="0.4">
      <c r="A9" s="220" t="s">
        <v>148</v>
      </c>
      <c r="B9" s="46"/>
      <c r="C9" s="46"/>
      <c r="D9" s="46"/>
      <c r="E9" s="46"/>
      <c r="F9" s="46"/>
      <c r="G9" s="46"/>
      <c r="H9" s="46"/>
      <c r="I9" s="46"/>
      <c r="J9" s="46"/>
    </row>
    <row r="10" spans="1:11" x14ac:dyDescent="0.4">
      <c r="A10" s="201" t="s">
        <v>121</v>
      </c>
      <c r="B10" s="201">
        <f t="shared" ref="B10:J10" si="2">B5/B7</f>
        <v>0.37297189193167818</v>
      </c>
      <c r="C10" s="201">
        <f t="shared" si="2"/>
        <v>0.36262199816701945</v>
      </c>
      <c r="D10" s="201">
        <f t="shared" si="2"/>
        <v>0.35135868264101328</v>
      </c>
      <c r="E10" s="201">
        <f t="shared" si="2"/>
        <v>0.33595439774504554</v>
      </c>
      <c r="F10" s="201">
        <f t="shared" si="2"/>
        <v>0.32640694106142681</v>
      </c>
      <c r="G10" s="201">
        <f t="shared" si="2"/>
        <v>0.32304454919809622</v>
      </c>
      <c r="H10" s="201">
        <f t="shared" si="2"/>
        <v>0.31769430562613837</v>
      </c>
      <c r="I10" s="201">
        <f t="shared" si="2"/>
        <v>0.31528020019716385</v>
      </c>
      <c r="J10" s="201">
        <f t="shared" si="2"/>
        <v>0.3288552167278192</v>
      </c>
    </row>
    <row r="11" spans="1:11" x14ac:dyDescent="0.4">
      <c r="A11" s="201" t="s">
        <v>120</v>
      </c>
      <c r="B11" s="201">
        <f t="shared" ref="B11:J11" si="3">B6/B7</f>
        <v>0.62702810806832188</v>
      </c>
      <c r="C11" s="201">
        <f t="shared" si="3"/>
        <v>0.63737800183298066</v>
      </c>
      <c r="D11" s="201">
        <f t="shared" si="3"/>
        <v>0.64864131735898678</v>
      </c>
      <c r="E11" s="201">
        <f t="shared" si="3"/>
        <v>0.66404560225495446</v>
      </c>
      <c r="F11" s="201">
        <f t="shared" si="3"/>
        <v>0.67359305893857324</v>
      </c>
      <c r="G11" s="201">
        <f t="shared" si="3"/>
        <v>0.67695545080190389</v>
      </c>
      <c r="H11" s="201">
        <f t="shared" si="3"/>
        <v>0.68230569437386168</v>
      </c>
      <c r="I11" s="201">
        <f t="shared" si="3"/>
        <v>0.68471979980283615</v>
      </c>
      <c r="J11" s="201">
        <f t="shared" si="3"/>
        <v>0.67114478327218074</v>
      </c>
    </row>
    <row r="14" spans="1:11" x14ac:dyDescent="0.4">
      <c r="A14" s="205" t="s">
        <v>55</v>
      </c>
      <c r="B14"/>
      <c r="C14"/>
      <c r="D14"/>
      <c r="E14"/>
    </row>
    <row r="15" spans="1:11" x14ac:dyDescent="0.4">
      <c r="A15" s="204" t="s">
        <v>124</v>
      </c>
      <c r="B15" s="16">
        <v>2008</v>
      </c>
      <c r="C15" s="16">
        <v>2009</v>
      </c>
      <c r="D15" s="16">
        <v>2010</v>
      </c>
      <c r="E15" s="16">
        <v>2011</v>
      </c>
      <c r="F15" s="16">
        <v>2012</v>
      </c>
      <c r="G15" s="16">
        <v>2013</v>
      </c>
      <c r="H15" s="16">
        <v>2014</v>
      </c>
      <c r="I15" s="15">
        <v>2015</v>
      </c>
      <c r="J15" s="15">
        <v>2016</v>
      </c>
    </row>
    <row r="16" spans="1:11" x14ac:dyDescent="0.4">
      <c r="A16" s="211" t="s">
        <v>53</v>
      </c>
      <c r="B16" s="210"/>
      <c r="C16" s="210"/>
      <c r="D16" s="210"/>
      <c r="E16" s="210"/>
      <c r="F16" s="207">
        <f>'[2]Données (T et tep)'!F24</f>
        <v>95774</v>
      </c>
      <c r="G16" s="93">
        <v>95644</v>
      </c>
      <c r="H16" s="93">
        <v>102210</v>
      </c>
      <c r="I16" s="68">
        <v>104215</v>
      </c>
      <c r="J16" s="68">
        <v>109624</v>
      </c>
    </row>
    <row r="17" spans="1:10" x14ac:dyDescent="0.4">
      <c r="A17" s="212" t="s">
        <v>54</v>
      </c>
      <c r="B17" s="210"/>
      <c r="C17" s="210"/>
      <c r="D17" s="210"/>
      <c r="E17" s="210"/>
      <c r="F17" s="208">
        <f>'[4]Données SARA'!$R$24</f>
        <v>4329.91</v>
      </c>
      <c r="G17" s="93">
        <v>8611.4330000000009</v>
      </c>
      <c r="H17" s="93">
        <v>9051.0999999999985</v>
      </c>
      <c r="I17" s="68">
        <v>9076.6640000000007</v>
      </c>
      <c r="J17" s="68">
        <v>8796.7669999999998</v>
      </c>
    </row>
    <row r="18" spans="1:10" x14ac:dyDescent="0.4">
      <c r="A18" s="212" t="s">
        <v>51</v>
      </c>
      <c r="B18" s="210"/>
      <c r="C18" s="210"/>
      <c r="D18" s="210"/>
      <c r="E18" s="210"/>
      <c r="F18" s="208">
        <v>241817.84999999998</v>
      </c>
      <c r="G18" s="93">
        <v>238546.21100000001</v>
      </c>
      <c r="H18" s="93">
        <v>231703.6</v>
      </c>
      <c r="I18" s="206">
        <v>241069.94200000001</v>
      </c>
      <c r="J18" s="206">
        <v>250718.565</v>
      </c>
    </row>
    <row r="19" spans="1:10" x14ac:dyDescent="0.4">
      <c r="A19" s="212" t="s">
        <v>50</v>
      </c>
      <c r="B19" s="210"/>
      <c r="C19" s="210"/>
      <c r="D19" s="210"/>
      <c r="E19" s="210"/>
      <c r="F19" s="208">
        <v>12310</v>
      </c>
      <c r="G19" s="93">
        <v>12822.093000000001</v>
      </c>
      <c r="H19" s="93">
        <v>12053</v>
      </c>
      <c r="I19" s="68">
        <v>14659.312</v>
      </c>
      <c r="J19" s="68">
        <v>13988.425999999999</v>
      </c>
    </row>
    <row r="20" spans="1:10" x14ac:dyDescent="0.4">
      <c r="A20" s="213" t="s">
        <v>5</v>
      </c>
      <c r="B20" s="210"/>
      <c r="C20" s="210"/>
      <c r="D20" s="210"/>
      <c r="E20" s="210"/>
      <c r="F20" s="209">
        <f>SUM(F16:F19)</f>
        <v>354231.76</v>
      </c>
      <c r="G20" s="209">
        <f>SUM(G16:G19)</f>
        <v>355623.73700000002</v>
      </c>
      <c r="H20" s="209">
        <f>SUM(H16:H19)</f>
        <v>355017.7</v>
      </c>
      <c r="I20" s="209">
        <f>SUM(I16:I19)</f>
        <v>369020.91800000001</v>
      </c>
      <c r="J20" s="209">
        <f>SUM(J16:J19)</f>
        <v>383127.75799999997</v>
      </c>
    </row>
    <row r="21" spans="1:10" x14ac:dyDescent="0.4">
      <c r="A21" s="202" t="s">
        <v>131</v>
      </c>
      <c r="F21" s="50"/>
      <c r="G21" s="214">
        <f>(G20-F20)/F20</f>
        <v>3.9295657735489709E-3</v>
      </c>
      <c r="H21" s="214">
        <f>(H20-G20)/G20</f>
        <v>-1.7041522737274739E-3</v>
      </c>
      <c r="I21" s="214">
        <f>(I20-H20)/H20</f>
        <v>3.9443717876601628E-2</v>
      </c>
      <c r="J21" s="214">
        <f>(J20-I20)/I20</f>
        <v>3.8227751631141858E-2</v>
      </c>
    </row>
    <row r="23" spans="1:10" x14ac:dyDescent="0.4">
      <c r="A23" s="219" t="s">
        <v>148</v>
      </c>
      <c r="B23" s="215"/>
      <c r="C23" s="215"/>
      <c r="D23" s="215"/>
      <c r="E23" s="215"/>
      <c r="F23" s="214"/>
    </row>
    <row r="24" spans="1:10" x14ac:dyDescent="0.4">
      <c r="A24" s="216" t="s">
        <v>53</v>
      </c>
      <c r="B24" s="210"/>
      <c r="C24" s="210"/>
      <c r="D24" s="210"/>
      <c r="E24" s="210"/>
      <c r="F24" s="217">
        <f>F16/F20</f>
        <v>0.27037101359855481</v>
      </c>
      <c r="G24" s="217">
        <f>G16/G20</f>
        <v>0.26894717660536815</v>
      </c>
      <c r="H24" s="217">
        <f>H16/H20</f>
        <v>0.28790113845028009</v>
      </c>
      <c r="I24" s="217">
        <f>I16/I20</f>
        <v>0.28240946492903146</v>
      </c>
      <c r="J24" s="217">
        <f>J16/J20</f>
        <v>0.28612909848207868</v>
      </c>
    </row>
    <row r="25" spans="1:10" x14ac:dyDescent="0.4">
      <c r="A25" s="218" t="s">
        <v>52</v>
      </c>
      <c r="B25" s="210"/>
      <c r="C25" s="210"/>
      <c r="D25" s="210"/>
      <c r="E25" s="210"/>
      <c r="F25" s="217">
        <f>F17/F20</f>
        <v>1.2223381664026962E-2</v>
      </c>
      <c r="G25" s="217">
        <f>G17/G20</f>
        <v>2.4215011834263472E-2</v>
      </c>
      <c r="H25" s="217">
        <f>H17/H20</f>
        <v>2.5494785189583501E-2</v>
      </c>
      <c r="I25" s="217">
        <f>I17/I20</f>
        <v>2.4596611078833208E-2</v>
      </c>
      <c r="J25" s="217">
        <f>J17/J20</f>
        <v>2.2960401109856417E-2</v>
      </c>
    </row>
    <row r="26" spans="1:10" x14ac:dyDescent="0.4">
      <c r="A26" s="218" t="s">
        <v>51</v>
      </c>
      <c r="B26" s="210"/>
      <c r="C26" s="210"/>
      <c r="D26" s="210"/>
      <c r="E26" s="210"/>
      <c r="F26" s="217">
        <f>F18/F20</f>
        <v>0.68265434471488373</v>
      </c>
      <c r="G26" s="217">
        <f>G18/G20</f>
        <v>0.67078258895862175</v>
      </c>
      <c r="H26" s="217">
        <f>H18/H20</f>
        <v>0.65265365642332762</v>
      </c>
      <c r="I26" s="217">
        <f>I18/I20</f>
        <v>0.6532690431386331</v>
      </c>
      <c r="J26" s="217">
        <f>J18/J20</f>
        <v>0.65439937400724701</v>
      </c>
    </row>
    <row r="27" spans="1:10" x14ac:dyDescent="0.4">
      <c r="A27" s="218" t="s">
        <v>50</v>
      </c>
      <c r="B27" s="210"/>
      <c r="C27" s="210"/>
      <c r="D27" s="210"/>
      <c r="E27" s="210"/>
      <c r="F27" s="217">
        <f>F19/F20</f>
        <v>3.4751260022534397E-2</v>
      </c>
      <c r="G27" s="217">
        <f>G19/G20</f>
        <v>3.605522260174663E-2</v>
      </c>
      <c r="H27" s="217">
        <f>H19/H20</f>
        <v>3.3950419936808786E-2</v>
      </c>
      <c r="I27" s="217">
        <f>I19/I20</f>
        <v>3.9724880853502183E-2</v>
      </c>
      <c r="J27" s="217">
        <f>J19/J20</f>
        <v>3.6511126400817974E-2</v>
      </c>
    </row>
    <row r="28" spans="1:10" x14ac:dyDescent="0.4">
      <c r="B28" s="21"/>
      <c r="C28" s="21"/>
      <c r="D28" s="21"/>
      <c r="E28" s="21"/>
      <c r="G28" s="14"/>
    </row>
    <row r="29" spans="1:10" x14ac:dyDescent="0.4">
      <c r="G29" s="14"/>
    </row>
    <row r="30" spans="1:10" x14ac:dyDescent="0.4">
      <c r="A30" t="s">
        <v>150</v>
      </c>
      <c r="B30"/>
      <c r="C30"/>
      <c r="D30"/>
      <c r="E30"/>
      <c r="F30"/>
      <c r="G30"/>
      <c r="H30"/>
      <c r="I30"/>
      <c r="J30"/>
    </row>
    <row r="31" spans="1:10" x14ac:dyDescent="0.4">
      <c r="A31"/>
      <c r="B31"/>
      <c r="C31"/>
      <c r="D31"/>
      <c r="E31"/>
      <c r="F31"/>
      <c r="G31"/>
      <c r="H31"/>
      <c r="I31"/>
      <c r="J31"/>
    </row>
    <row r="32" spans="1:10" x14ac:dyDescent="0.4">
      <c r="A32"/>
      <c r="B32"/>
      <c r="C32"/>
      <c r="D32"/>
      <c r="E32"/>
      <c r="F32"/>
      <c r="G32"/>
      <c r="H32"/>
      <c r="I32"/>
      <c r="J32"/>
    </row>
    <row r="33" spans="1:10" x14ac:dyDescent="0.4">
      <c r="A33"/>
      <c r="B33"/>
      <c r="C33"/>
      <c r="D33"/>
      <c r="E33"/>
      <c r="F33"/>
      <c r="G33"/>
      <c r="H33"/>
      <c r="I33"/>
      <c r="J33"/>
    </row>
    <row r="34" spans="1:10" x14ac:dyDescent="0.4">
      <c r="A34"/>
      <c r="B34"/>
      <c r="C34"/>
      <c r="D34"/>
      <c r="E34"/>
      <c r="F34"/>
      <c r="G34"/>
      <c r="H34"/>
      <c r="I34"/>
      <c r="J34"/>
    </row>
    <row r="35" spans="1:10" x14ac:dyDescent="0.4">
      <c r="A35"/>
      <c r="B35"/>
      <c r="C35"/>
      <c r="D35"/>
      <c r="E35"/>
      <c r="F35"/>
      <c r="G35"/>
      <c r="H35"/>
      <c r="I35"/>
      <c r="J35"/>
    </row>
    <row r="36" spans="1:10" x14ac:dyDescent="0.4">
      <c r="A36"/>
      <c r="B36"/>
      <c r="C36"/>
      <c r="D36"/>
      <c r="E36"/>
      <c r="F36"/>
      <c r="G36"/>
      <c r="H36"/>
      <c r="I36"/>
      <c r="J36"/>
    </row>
  </sheetData>
  <mergeCells count="2">
    <mergeCell ref="A1:J1"/>
    <mergeCell ref="A2:B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TEP</vt:lpstr>
      <vt:lpstr>GWh</vt:lpstr>
      <vt:lpstr>Consommation électrique mois</vt:lpstr>
      <vt:lpstr>Consommateurs</vt:lpstr>
      <vt:lpstr>CONSOMMATION PAR COMMUNE</vt:lpstr>
      <vt:lpstr>CARBURANT </vt:lpstr>
      <vt:lpstr>variation13</vt:lpstr>
      <vt:lpstr>GWh!Zone_d_impression</vt:lpstr>
      <vt:lpstr>TEP!Zone_d_impression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BELFORT AMELIE</dc:creator>
  <cp:lastModifiedBy>BELFORT AMELIE</cp:lastModifiedBy>
  <dcterms:created xsi:type="dcterms:W3CDTF">2017-07-05T20:01:26Z</dcterms:created>
  <dcterms:modified xsi:type="dcterms:W3CDTF">2017-12-29T14:34:21Z</dcterms:modified>
</cp:coreProperties>
</file>